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intra.crnormandie.fr\Bureautique\DGA SEI\DEI\05. Service pilotage FEDER FSE IEJ\2021-2027\07. Procédures et DSGC\04. Procédures et outils\Documents types\001-instruction\Aides_etat\Surcompensation LS\"/>
    </mc:Choice>
  </mc:AlternateContent>
  <xr:revisionPtr revIDLastSave="0" documentId="13_ncr:9_{270F71EB-FFAB-4E8E-A0EF-F142D5329A88}" xr6:coauthVersionLast="47" xr6:coauthVersionMax="47" xr10:uidLastSave="{00000000-0000-0000-0000-000000000000}"/>
  <bookViews>
    <workbookView xWindow="28680" yWindow="-120" windowWidth="29040" windowHeight="15840" tabRatio="856" xr2:uid="{E6E173B9-A11E-4BB5-B63C-E022D97C45E3}"/>
  </bookViews>
  <sheets>
    <sheet name="Test de compensation" sheetId="1" r:id="rId1"/>
    <sheet name="Recettes des sites diffus" sheetId="4" r:id="rId2"/>
    <sheet name="Calculs détaillés" sheetId="2" r:id="rId3"/>
    <sheet name="Notice explicative" sheetId="3" r:id="rId4"/>
  </sheets>
  <definedNames>
    <definedName name="Excel_BuiltIn_Print_Area" localSheetId="0">'Test de compensation'!$A$1:$L$196</definedName>
    <definedName name="Z_1330B1EB_D6B5_4145_AD9D_B75831D2D439__wvu_PrintArea" localSheetId="2">'Calculs détaillés'!$A$1:$AW$54</definedName>
    <definedName name="Z_1330B1EB_D6B5_4145_AD9D_B75831D2D439__wvu_PrintArea" localSheetId="0">'Test de compensation'!$A$1:$L$196</definedName>
    <definedName name="Z_1330B1EB_D6B5_4145_AD9D_B75831D2D439__wvu_Rows" localSheetId="0">('Test de compensation'!#REF!,'Test de compensation'!$119:$119)</definedName>
    <definedName name="Z_26C1AF17_D3E4_4547_92D2_C89E7F560B74__wvu_Cols" localSheetId="2">'Calculs détaillés'!$AT:$AT</definedName>
    <definedName name="Z_26C1AF17_D3E4_4547_92D2_C89E7F560B74__wvu_PrintArea" localSheetId="0">'Test de compensation'!$A$151:$K$196</definedName>
    <definedName name="Z_4EB177F3_F4D3_41FA_A7ED_DA74984F2109__wvu_PrintArea" localSheetId="0">'Test de compensation'!$A$151:$K$196</definedName>
    <definedName name="Z_5333055B_B1F1_457A_8AF1_DE36B34ACBA7__wvu_PrintArea" localSheetId="2">'Calculs détaillés'!$A$1:$AW$54</definedName>
    <definedName name="Z_5333055B_B1F1_457A_8AF1_DE36B34ACBA7__wvu_PrintArea" localSheetId="0">'Test de compensation'!$A$1:$L$196</definedName>
    <definedName name="Z_5333055B_B1F1_457A_8AF1_DE36B34ACBA7__wvu_Rows" localSheetId="0">('Test de compensation'!#REF!,'Test de compensation'!$119:$119)</definedName>
    <definedName name="Z_634CB27E_6174_4933_AFE6_F3269E494A87__wvu_PrintArea" localSheetId="2">'Calculs détaillés'!$A$1:$AW$54</definedName>
    <definedName name="Z_634CB27E_6174_4933_AFE6_F3269E494A87__wvu_PrintArea" localSheetId="0">'Test de compensation'!$A$1:$L$196</definedName>
    <definedName name="Z_634CB27E_6174_4933_AFE6_F3269E494A87__wvu_Rows" localSheetId="0">('Test de compensation'!#REF!,'Test de compensation'!$119:$119)</definedName>
    <definedName name="Z_6856F346_CE36_4225_9C8C_23291F29B277__wvu_PrintArea" localSheetId="2">'Calculs détaillés'!$A$1:$AW$54</definedName>
    <definedName name="Z_6856F346_CE36_4225_9C8C_23291F29B277__wvu_PrintArea" localSheetId="0">'Test de compensation'!$A$1:$L$196</definedName>
    <definedName name="Z_6856F346_CE36_4225_9C8C_23291F29B277__wvu_Rows" localSheetId="0">('Test de compensation'!#REF!,'Test de compensation'!$119:$119)</definedName>
    <definedName name="Z_72E6A889_852D_4F52_BB9A_47008E4DA803__wvu_PrintArea" localSheetId="2">'Calculs détaillés'!$A$1:$AW$54</definedName>
    <definedName name="Z_72E6A889_852D_4F52_BB9A_47008E4DA803__wvu_PrintArea" localSheetId="0">'Test de compensation'!$A$1:$L$196</definedName>
    <definedName name="Z_72E6A889_852D_4F52_BB9A_47008E4DA803__wvu_Rows" localSheetId="0">('Test de compensation'!#REF!,'Test de compensation'!$119:$119)</definedName>
    <definedName name="Z_77443461_F99B_4B08_B0A4_4162BB35D233__wvu_PrintArea" localSheetId="2">'Calculs détaillés'!$A$1:$AW$54</definedName>
    <definedName name="Z_77443461_F99B_4B08_B0A4_4162BB35D233__wvu_PrintArea" localSheetId="0">'Test de compensation'!$A$1:$L$196</definedName>
    <definedName name="Z_77443461_F99B_4B08_B0A4_4162BB35D233__wvu_Rows" localSheetId="0">('Test de compensation'!#REF!,'Test de compensation'!$119:$119)</definedName>
    <definedName name="Z_8795FEFB_389F_4479_B164_D96CADDEFAAF__wvu_PrintArea" localSheetId="2">'Calculs détaillés'!$A$1:$AW$54</definedName>
    <definedName name="Z_8795FEFB_389F_4479_B164_D96CADDEFAAF__wvu_PrintArea" localSheetId="0">'Test de compensation'!$A$1:$L$196</definedName>
    <definedName name="Z_8795FEFB_389F_4479_B164_D96CADDEFAAF__wvu_Rows" localSheetId="0">('Test de compensation'!#REF!,'Test de compensation'!$119:$119)</definedName>
    <definedName name="Z_8EC9B7B9_8071_418F_A05B_40EF536E5ABE__wvu_PrintArea" localSheetId="2">'Calculs détaillés'!$A$1:$AW$54</definedName>
    <definedName name="Z_8EC9B7B9_8071_418F_A05B_40EF536E5ABE__wvu_PrintArea" localSheetId="0">'Test de compensation'!$A$1:$L$196</definedName>
    <definedName name="Z_8EC9B7B9_8071_418F_A05B_40EF536E5ABE__wvu_Rows" localSheetId="0">('Test de compensation'!#REF!,'Test de compensation'!$119:$119)</definedName>
    <definedName name="Z_ADC4E5AD_2FF8_4A44_B31C_A9E914D70A09__wvu_PrintArea" localSheetId="2">'Calculs détaillés'!$A$1:$AW$54</definedName>
    <definedName name="Z_ADC4E5AD_2FF8_4A44_B31C_A9E914D70A09__wvu_PrintArea" localSheetId="0">'Test de compensation'!$A$1:$L$196</definedName>
    <definedName name="Z_ADC4E5AD_2FF8_4A44_B31C_A9E914D70A09__wvu_Rows" localSheetId="0">('Test de compensation'!#REF!,'Test de compensation'!$119:$119)</definedName>
    <definedName name="Z_D5CA7B6B_8807_4FB4_883F_67B4DEC32F74__wvu_PrintArea" localSheetId="2">'Calculs détaillés'!$A$1:$AW$54</definedName>
    <definedName name="Z_D5CA7B6B_8807_4FB4_883F_67B4DEC32F74__wvu_PrintArea" localSheetId="0">'Test de compensation'!$A$1:$L$196</definedName>
    <definedName name="Z_D5CA7B6B_8807_4FB4_883F_67B4DEC32F74__wvu_Rows" localSheetId="0">('Test de compensation'!#REF!,'Test de compensation'!$119:$119)</definedName>
    <definedName name="Z_EB644E58_B216_4611_9AE5_A9E5F86AC7F7__wvu_PrintArea" localSheetId="2">'Calculs détaillés'!$A$1:$AW$54</definedName>
    <definedName name="Z_EB644E58_B216_4611_9AE5_A9E5F86AC7F7__wvu_PrintArea" localSheetId="0">'Test de compensation'!$A$1:$L$196</definedName>
    <definedName name="Z_EB644E58_B216_4611_9AE5_A9E5F86AC7F7__wvu_Rows" localSheetId="0">('Test de compensation'!#REF!,'Test de compensation'!$119:$119)</definedName>
    <definedName name="_xlnm.Print_Area" localSheetId="2">'Calculs détaillés'!$A$1:$AW$54</definedName>
    <definedName name="_xlnm.Print_Area" localSheetId="0">'Test de compensation'!$A$1:$K$199</definedName>
  </definedNames>
  <calcPr calcId="191029" fullCalcOnLoad="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2" l="1"/>
  <c r="G7" i="2"/>
  <c r="E7" i="2"/>
  <c r="F7" i="2"/>
  <c r="D75" i="1"/>
  <c r="D76" i="1"/>
  <c r="D74" i="1"/>
  <c r="D88" i="1"/>
  <c r="D84" i="1"/>
  <c r="D20" i="4"/>
  <c r="D18" i="4"/>
  <c r="D13" i="4"/>
  <c r="D14" i="4" s="1"/>
  <c r="D12" i="4"/>
  <c r="S102" i="4" l="1"/>
  <c r="N102" i="4"/>
  <c r="I102" i="4"/>
  <c r="D102" i="4"/>
  <c r="S96" i="4"/>
  <c r="S97" i="4" s="1"/>
  <c r="S98" i="4" s="1"/>
  <c r="N96" i="4"/>
  <c r="N97" i="4" s="1"/>
  <c r="N98" i="4" s="1"/>
  <c r="I96" i="4"/>
  <c r="I97" i="4" s="1"/>
  <c r="I98" i="4" s="1"/>
  <c r="D96" i="4"/>
  <c r="D97" i="4" s="1"/>
  <c r="D98" i="4" s="1"/>
  <c r="S81" i="4"/>
  <c r="N81" i="4"/>
  <c r="I81" i="4"/>
  <c r="D81" i="4"/>
  <c r="S75" i="4"/>
  <c r="S76" i="4" s="1"/>
  <c r="S77" i="4" s="1"/>
  <c r="S83" i="4" s="1"/>
  <c r="N75" i="4"/>
  <c r="N76" i="4" s="1"/>
  <c r="N77" i="4" s="1"/>
  <c r="I75" i="4"/>
  <c r="I76" i="4" s="1"/>
  <c r="I77" i="4" s="1"/>
  <c r="D75" i="4"/>
  <c r="D76" i="4" s="1"/>
  <c r="D77" i="4" s="1"/>
  <c r="D83" i="4" s="1"/>
  <c r="S60" i="4"/>
  <c r="N60" i="4"/>
  <c r="I60" i="4"/>
  <c r="D60" i="4"/>
  <c r="S55" i="4"/>
  <c r="S56" i="4" s="1"/>
  <c r="D55" i="4"/>
  <c r="D56" i="4" s="1"/>
  <c r="S54" i="4"/>
  <c r="N54" i="4"/>
  <c r="N55" i="4" s="1"/>
  <c r="N56" i="4" s="1"/>
  <c r="I54" i="4"/>
  <c r="I55" i="4" s="1"/>
  <c r="I56" i="4" s="1"/>
  <c r="D54" i="4"/>
  <c r="S39" i="4"/>
  <c r="N39" i="4"/>
  <c r="I39" i="4"/>
  <c r="D39" i="4"/>
  <c r="S33" i="4"/>
  <c r="S34" i="4" s="1"/>
  <c r="S35" i="4" s="1"/>
  <c r="S41" i="4" s="1"/>
  <c r="N33" i="4"/>
  <c r="N34" i="4" s="1"/>
  <c r="N35" i="4" s="1"/>
  <c r="N41" i="4" s="1"/>
  <c r="I33" i="4"/>
  <c r="I34" i="4" s="1"/>
  <c r="I35" i="4" s="1"/>
  <c r="D33" i="4"/>
  <c r="D34" i="4" s="1"/>
  <c r="D35" i="4" s="1"/>
  <c r="S18" i="4"/>
  <c r="N18" i="4"/>
  <c r="I18" i="4"/>
  <c r="N13" i="4"/>
  <c r="N14" i="4" s="1"/>
  <c r="S12" i="4"/>
  <c r="S13" i="4" s="1"/>
  <c r="S14" i="4" s="1"/>
  <c r="N12" i="4"/>
  <c r="I12" i="4"/>
  <c r="I13" i="4" s="1"/>
  <c r="I14" i="4" s="1"/>
  <c r="I41" i="4" l="1"/>
  <c r="N83" i="4"/>
  <c r="S104" i="4"/>
  <c r="D41" i="4"/>
  <c r="D62" i="4"/>
  <c r="I83" i="4"/>
  <c r="N62" i="4"/>
  <c r="I62" i="4"/>
  <c r="S62" i="4"/>
  <c r="D104" i="4"/>
  <c r="I20" i="4"/>
  <c r="I104" i="4"/>
  <c r="N20" i="4"/>
  <c r="N104" i="4"/>
  <c r="S20" i="4"/>
  <c r="D149" i="1" l="1"/>
  <c r="F121" i="1"/>
  <c r="AJ32" i="2"/>
  <c r="AJ33" i="2"/>
  <c r="AJ34" i="2"/>
  <c r="AJ35" i="2"/>
  <c r="AJ36" i="2"/>
  <c r="AJ37" i="2"/>
  <c r="AJ38" i="2"/>
  <c r="AJ39" i="2"/>
  <c r="AJ40" i="2"/>
  <c r="AJ41" i="2"/>
  <c r="AJ42" i="2"/>
  <c r="AJ43" i="2"/>
  <c r="AJ44" i="2"/>
  <c r="AJ45" i="2"/>
  <c r="AJ46" i="2"/>
  <c r="T7" i="2"/>
  <c r="G2" i="2"/>
  <c r="D2" i="2"/>
  <c r="B7" i="2" s="1"/>
  <c r="B8" i="2" s="1"/>
  <c r="J2" i="2"/>
  <c r="S3" i="2"/>
  <c r="AE3" i="2"/>
  <c r="F47" i="2"/>
  <c r="F53" i="2" s="1"/>
  <c r="C164" i="1" s="1"/>
  <c r="H7" i="2"/>
  <c r="I7" i="2"/>
  <c r="I47" i="2"/>
  <c r="I53" i="2" s="1"/>
  <c r="C169" i="1" s="1"/>
  <c r="G37" i="3" s="1"/>
  <c r="K7" i="2"/>
  <c r="Q7" i="2" s="1"/>
  <c r="W7" i="2" s="1"/>
  <c r="AC7" i="2" s="1"/>
  <c r="L7" i="2"/>
  <c r="L8" i="2" s="1"/>
  <c r="L9" i="2" s="1"/>
  <c r="M7" i="2"/>
  <c r="M8" i="2" s="1"/>
  <c r="M9" i="2" s="1"/>
  <c r="N7" i="2"/>
  <c r="R7" i="2"/>
  <c r="R8" i="2" s="1"/>
  <c r="R9" i="2" s="1"/>
  <c r="R10" i="2" s="1"/>
  <c r="R11" i="2" s="1"/>
  <c r="R12" i="2" s="1"/>
  <c r="R13" i="2" s="1"/>
  <c r="R14" i="2" s="1"/>
  <c r="R15" i="2" s="1"/>
  <c r="R16" i="2" s="1"/>
  <c r="R17" i="2" s="1"/>
  <c r="R18" i="2" s="1"/>
  <c r="R19" i="2" s="1"/>
  <c r="R20" i="2" s="1"/>
  <c r="R21" i="2" s="1"/>
  <c r="R22" i="2" s="1"/>
  <c r="R23" i="2" s="1"/>
  <c r="R24" i="2" s="1"/>
  <c r="R25" i="2" s="1"/>
  <c r="R26" i="2" s="1"/>
  <c r="R27" i="2" s="1"/>
  <c r="R28" i="2" s="1"/>
  <c r="R29" i="2" s="1"/>
  <c r="R30" i="2" s="1"/>
  <c r="R31" i="2" s="1"/>
  <c r="R32" i="2" s="1"/>
  <c r="R33" i="2" s="1"/>
  <c r="R34" i="2" s="1"/>
  <c r="R35" i="2" s="1"/>
  <c r="R36" i="2" s="1"/>
  <c r="R37" i="2" s="1"/>
  <c r="R38" i="2" s="1"/>
  <c r="R39" i="2" s="1"/>
  <c r="R40" i="2" s="1"/>
  <c r="R41" i="2" s="1"/>
  <c r="R42" i="2" s="1"/>
  <c r="R43" i="2" s="1"/>
  <c r="R44" i="2" s="1"/>
  <c r="R45" i="2" s="1"/>
  <c r="R46" i="2" s="1"/>
  <c r="S7" i="2"/>
  <c r="X7" i="2"/>
  <c r="X8" i="2" s="1"/>
  <c r="X9" i="2" s="1"/>
  <c r="X10" i="2" s="1"/>
  <c r="X11" i="2" s="1"/>
  <c r="X12" i="2" s="1"/>
  <c r="X13" i="2" s="1"/>
  <c r="X14" i="2" s="1"/>
  <c r="X15" i="2" s="1"/>
  <c r="Y7" i="2"/>
  <c r="AD7" i="2"/>
  <c r="AD8" i="2" s="1"/>
  <c r="AD9" i="2" s="1"/>
  <c r="AD10" i="2" s="1"/>
  <c r="AD11" i="2" s="1"/>
  <c r="AD12" i="2" s="1"/>
  <c r="AD13" i="2" s="1"/>
  <c r="AD14" i="2" s="1"/>
  <c r="AD15" i="2" s="1"/>
  <c r="AD16" i="2" s="1"/>
  <c r="AD17" i="2" s="1"/>
  <c r="AD18" i="2" s="1"/>
  <c r="AD19" i="2" s="1"/>
  <c r="AD20" i="2" s="1"/>
  <c r="AD21" i="2" s="1"/>
  <c r="AD22" i="2" s="1"/>
  <c r="AD23" i="2" s="1"/>
  <c r="AD24" i="2" s="1"/>
  <c r="AD25" i="2" s="1"/>
  <c r="AD26" i="2" s="1"/>
  <c r="AD27" i="2" s="1"/>
  <c r="AD28" i="2" s="1"/>
  <c r="AD29" i="2" s="1"/>
  <c r="AD30" i="2" s="1"/>
  <c r="AD31" i="2" s="1"/>
  <c r="AD32" i="2" s="1"/>
  <c r="AD33" i="2" s="1"/>
  <c r="AD34" i="2" s="1"/>
  <c r="AD35" i="2" s="1"/>
  <c r="AD36" i="2" s="1"/>
  <c r="AD37" i="2" s="1"/>
  <c r="AD38" i="2" s="1"/>
  <c r="AD39" i="2" s="1"/>
  <c r="AD40" i="2" s="1"/>
  <c r="AD41" i="2" s="1"/>
  <c r="AD42" i="2" s="1"/>
  <c r="AD43" i="2" s="1"/>
  <c r="AD44" i="2" s="1"/>
  <c r="AD45" i="2" s="1"/>
  <c r="AD46" i="2" s="1"/>
  <c r="AE7" i="2"/>
  <c r="AL7" i="2"/>
  <c r="AL47" i="2" s="1"/>
  <c r="AL53" i="2" s="1"/>
  <c r="AP7" i="2"/>
  <c r="AT7" i="2"/>
  <c r="K8" i="2"/>
  <c r="Q8" i="2" s="1"/>
  <c r="W8" i="2" s="1"/>
  <c r="AQ8" i="2"/>
  <c r="AR8" i="2"/>
  <c r="K9" i="2"/>
  <c r="Q9" i="2" s="1"/>
  <c r="L10" i="2"/>
  <c r="L11" i="2" s="1"/>
  <c r="L12" i="2" s="1"/>
  <c r="L13" i="2" s="1"/>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L38" i="2" s="1"/>
  <c r="L39" i="2" s="1"/>
  <c r="L40" i="2" s="1"/>
  <c r="L41" i="2" s="1"/>
  <c r="L42" i="2" s="1"/>
  <c r="L43" i="2" s="1"/>
  <c r="L44" i="2" s="1"/>
  <c r="L45" i="2" s="1"/>
  <c r="L46" i="2" s="1"/>
  <c r="AS9" i="2"/>
  <c r="K10" i="2"/>
  <c r="Q10" i="2" s="1"/>
  <c r="AS10" i="2"/>
  <c r="K11" i="2"/>
  <c r="Q11" i="2" s="1"/>
  <c r="X16" i="2"/>
  <c r="X17" i="2" s="1"/>
  <c r="X18" i="2" s="1"/>
  <c r="X19" i="2" s="1"/>
  <c r="X20" i="2" s="1"/>
  <c r="X21" i="2" s="1"/>
  <c r="X22" i="2" s="1"/>
  <c r="X23" i="2" s="1"/>
  <c r="X24" i="2" s="1"/>
  <c r="X25" i="2" s="1"/>
  <c r="X26" i="2" s="1"/>
  <c r="X27" i="2" s="1"/>
  <c r="X28" i="2" s="1"/>
  <c r="X29" i="2" s="1"/>
  <c r="X30" i="2" s="1"/>
  <c r="X31" i="2" s="1"/>
  <c r="X32" i="2" s="1"/>
  <c r="X33" i="2" s="1"/>
  <c r="X34" i="2" s="1"/>
  <c r="X35" i="2" s="1"/>
  <c r="X36" i="2" s="1"/>
  <c r="X37" i="2" s="1"/>
  <c r="X38" i="2" s="1"/>
  <c r="X39" i="2" s="1"/>
  <c r="X40" i="2" s="1"/>
  <c r="X41" i="2" s="1"/>
  <c r="X42" i="2" s="1"/>
  <c r="X43" i="2" s="1"/>
  <c r="X44" i="2" s="1"/>
  <c r="X45" i="2" s="1"/>
  <c r="X46" i="2" s="1"/>
  <c r="AS11" i="2"/>
  <c r="K12" i="2"/>
  <c r="Q12" i="2" s="1"/>
  <c r="AS12" i="2"/>
  <c r="K13" i="2"/>
  <c r="Q13" i="2" s="1"/>
  <c r="AS13" i="2"/>
  <c r="K14" i="2"/>
  <c r="Q14" i="2" s="1"/>
  <c r="AS14" i="2"/>
  <c r="K15" i="2"/>
  <c r="Q15" i="2" s="1"/>
  <c r="AS15" i="2"/>
  <c r="K16" i="2"/>
  <c r="Q16" i="2" s="1"/>
  <c r="AS16" i="2"/>
  <c r="K17" i="2"/>
  <c r="Q17" i="2" s="1"/>
  <c r="AS17" i="2"/>
  <c r="K18" i="2"/>
  <c r="Q18" i="2"/>
  <c r="AS18" i="2"/>
  <c r="K19" i="2"/>
  <c r="Q19" i="2"/>
  <c r="W19" i="2" s="1"/>
  <c r="AS19" i="2"/>
  <c r="K20" i="2"/>
  <c r="Q20" i="2"/>
  <c r="W20" i="2"/>
  <c r="AS20" i="2"/>
  <c r="K21" i="2"/>
  <c r="Q21" i="2" s="1"/>
  <c r="AS21" i="2"/>
  <c r="D22" i="2"/>
  <c r="K22" i="2"/>
  <c r="Q22" i="2"/>
  <c r="AS22" i="2"/>
  <c r="D23" i="2"/>
  <c r="K23" i="2"/>
  <c r="Q23" i="2"/>
  <c r="W23" i="2" s="1"/>
  <c r="AC23" i="2" s="1"/>
  <c r="AE23" i="2" s="1"/>
  <c r="AS23" i="2"/>
  <c r="D24" i="2"/>
  <c r="K24" i="2"/>
  <c r="Q24" i="2" s="1"/>
  <c r="AS24" i="2"/>
  <c r="D25" i="2"/>
  <c r="K25" i="2"/>
  <c r="Q25" i="2"/>
  <c r="AS25" i="2"/>
  <c r="D26" i="2"/>
  <c r="K26" i="2"/>
  <c r="Q26" i="2" s="1"/>
  <c r="AS26" i="2"/>
  <c r="D27" i="2"/>
  <c r="K27" i="2"/>
  <c r="Q27" i="2"/>
  <c r="AS27" i="2"/>
  <c r="D28" i="2"/>
  <c r="K28" i="2"/>
  <c r="Q28" i="2" s="1"/>
  <c r="AS28" i="2"/>
  <c r="D29" i="2"/>
  <c r="K29" i="2"/>
  <c r="Q29" i="2"/>
  <c r="AS29" i="2"/>
  <c r="D30" i="2"/>
  <c r="K30" i="2"/>
  <c r="Q30" i="2" s="1"/>
  <c r="W30" i="2" s="1"/>
  <c r="AS30" i="2"/>
  <c r="D31" i="2"/>
  <c r="K31" i="2"/>
  <c r="Q31" i="2"/>
  <c r="W31" i="2" s="1"/>
  <c r="Y31" i="2" s="1"/>
  <c r="AS31" i="2"/>
  <c r="C32" i="2"/>
  <c r="D32" i="2"/>
  <c r="H32" i="2"/>
  <c r="K32" i="2"/>
  <c r="Q32" i="2" s="1"/>
  <c r="W32" i="2" s="1"/>
  <c r="M32" i="2"/>
  <c r="AS32" i="2"/>
  <c r="C33" i="2"/>
  <c r="D33" i="2"/>
  <c r="H33" i="2"/>
  <c r="K33" i="2"/>
  <c r="Q33" i="2"/>
  <c r="M33" i="2"/>
  <c r="AS33" i="2"/>
  <c r="C34" i="2"/>
  <c r="D34" i="2"/>
  <c r="H34" i="2"/>
  <c r="K34" i="2"/>
  <c r="Q34" i="2" s="1"/>
  <c r="M34" i="2"/>
  <c r="AS34" i="2"/>
  <c r="C35" i="2"/>
  <c r="D35" i="2"/>
  <c r="H35" i="2"/>
  <c r="K35" i="2"/>
  <c r="Q35" i="2" s="1"/>
  <c r="M35" i="2"/>
  <c r="AS35" i="2"/>
  <c r="C36" i="2"/>
  <c r="D36" i="2"/>
  <c r="H36" i="2"/>
  <c r="K36" i="2"/>
  <c r="Q36" i="2" s="1"/>
  <c r="W36" i="2" s="1"/>
  <c r="AC36" i="2" s="1"/>
  <c r="AE36" i="2" s="1"/>
  <c r="M36" i="2"/>
  <c r="AS36" i="2"/>
  <c r="C37" i="2"/>
  <c r="D37" i="2"/>
  <c r="H37" i="2"/>
  <c r="K37" i="2"/>
  <c r="Q37" i="2"/>
  <c r="W37" i="2"/>
  <c r="M37" i="2"/>
  <c r="AS37" i="2"/>
  <c r="C38" i="2"/>
  <c r="D38" i="2"/>
  <c r="H38" i="2"/>
  <c r="K38" i="2"/>
  <c r="M38" i="2"/>
  <c r="Q38" i="2"/>
  <c r="W38" i="2" s="1"/>
  <c r="AS38" i="2"/>
  <c r="C39" i="2"/>
  <c r="D39" i="2"/>
  <c r="H39" i="2"/>
  <c r="K39" i="2"/>
  <c r="Q39" i="2"/>
  <c r="W39" i="2"/>
  <c r="Y39" i="2" s="1"/>
  <c r="M39" i="2"/>
  <c r="AS39" i="2"/>
  <c r="C40" i="2"/>
  <c r="D40" i="2"/>
  <c r="H40" i="2"/>
  <c r="K40" i="2"/>
  <c r="Q40" i="2"/>
  <c r="W40" i="2"/>
  <c r="Y40" i="2" s="1"/>
  <c r="M40" i="2"/>
  <c r="AS40" i="2"/>
  <c r="C41" i="2"/>
  <c r="D41" i="2"/>
  <c r="H41" i="2"/>
  <c r="K41" i="2"/>
  <c r="Q41" i="2"/>
  <c r="W41" i="2" s="1"/>
  <c r="M41" i="2"/>
  <c r="AS41" i="2"/>
  <c r="C42" i="2"/>
  <c r="D42" i="2"/>
  <c r="H42" i="2"/>
  <c r="K42" i="2"/>
  <c r="Q42" i="2" s="1"/>
  <c r="M42" i="2"/>
  <c r="AS42" i="2"/>
  <c r="C43" i="2"/>
  <c r="D43" i="2"/>
  <c r="H43" i="2"/>
  <c r="K43" i="2"/>
  <c r="Q43" i="2" s="1"/>
  <c r="M43" i="2"/>
  <c r="AS43" i="2"/>
  <c r="C44" i="2"/>
  <c r="D44" i="2"/>
  <c r="H44" i="2"/>
  <c r="K44" i="2"/>
  <c r="Q44" i="2"/>
  <c r="W44" i="2"/>
  <c r="Y44" i="2" s="1"/>
  <c r="M44" i="2"/>
  <c r="S44" i="2"/>
  <c r="AS44" i="2"/>
  <c r="C45" i="2"/>
  <c r="D45" i="2"/>
  <c r="H45" i="2"/>
  <c r="K45" i="2"/>
  <c r="Q45" i="2" s="1"/>
  <c r="M45" i="2"/>
  <c r="AS45" i="2"/>
  <c r="C46" i="2"/>
  <c r="D46" i="2"/>
  <c r="H46" i="2"/>
  <c r="K46" i="2"/>
  <c r="M46" i="2"/>
  <c r="Q46" i="2"/>
  <c r="W46" i="2"/>
  <c r="AS46" i="2"/>
  <c r="AP47" i="2"/>
  <c r="AP53" i="2" s="1"/>
  <c r="AQ47" i="2"/>
  <c r="AR47" i="2"/>
  <c r="B67" i="2"/>
  <c r="B68" i="2" s="1"/>
  <c r="B69" i="2" s="1"/>
  <c r="B70" i="2" s="1"/>
  <c r="B71" i="2" s="1"/>
  <c r="B72" i="2" s="1"/>
  <c r="B73" i="2" s="1"/>
  <c r="B74" i="2" s="1"/>
  <c r="B75" i="2" s="1"/>
  <c r="B76" i="2" s="1"/>
  <c r="B77" i="2" s="1"/>
  <c r="B78" i="2" s="1"/>
  <c r="B79" i="2" s="1"/>
  <c r="B80" i="2" s="1"/>
  <c r="B81" i="2" s="1"/>
  <c r="B82" i="2" s="1"/>
  <c r="B83" i="2" s="1"/>
  <c r="B84" i="2" s="1"/>
  <c r="B85" i="2" s="1"/>
  <c r="G14" i="3"/>
  <c r="E107" i="3" s="1"/>
  <c r="G17" i="3"/>
  <c r="G36" i="3"/>
  <c r="G47" i="3"/>
  <c r="D103" i="1"/>
  <c r="G47" i="2" s="1"/>
  <c r="G53" i="2" s="1"/>
  <c r="F110" i="1"/>
  <c r="F111" i="1"/>
  <c r="F112" i="1"/>
  <c r="F113" i="1"/>
  <c r="F114" i="1"/>
  <c r="F115" i="1"/>
  <c r="F116" i="1"/>
  <c r="F117" i="1"/>
  <c r="F118" i="1"/>
  <c r="D119" i="1"/>
  <c r="D122" i="1" s="1"/>
  <c r="F124" i="1"/>
  <c r="F129" i="1"/>
  <c r="F130" i="1"/>
  <c r="F131" i="1"/>
  <c r="F132" i="1"/>
  <c r="D133" i="1"/>
  <c r="D138" i="1" s="1"/>
  <c r="D159" i="1" s="1"/>
  <c r="D157" i="1"/>
  <c r="AC44" i="2"/>
  <c r="AE44" i="2"/>
  <c r="W25" i="2"/>
  <c r="W33" i="2"/>
  <c r="W14" i="2"/>
  <c r="AC14" i="2" s="1"/>
  <c r="AC31" i="2"/>
  <c r="AE31" i="2" s="1"/>
  <c r="AF7" i="2"/>
  <c r="AG7" i="2" s="1"/>
  <c r="AH7" i="2" s="1"/>
  <c r="D7" i="2"/>
  <c r="G18" i="3"/>
  <c r="S46" i="2"/>
  <c r="W21" i="2"/>
  <c r="W11" i="2"/>
  <c r="AC11" i="2" s="1"/>
  <c r="AC33" i="2"/>
  <c r="AE33" i="2" s="1"/>
  <c r="Y33" i="2"/>
  <c r="AC25" i="2"/>
  <c r="AE25" i="2"/>
  <c r="AC40" i="2"/>
  <c r="AE40" i="2" s="1"/>
  <c r="W27" i="2"/>
  <c r="E116" i="1"/>
  <c r="E111" i="1"/>
  <c r="E118" i="1"/>
  <c r="E115" i="1"/>
  <c r="Y37" i="2"/>
  <c r="AC37" i="2"/>
  <c r="AE37" i="2"/>
  <c r="W29" i="2"/>
  <c r="S8" i="2"/>
  <c r="AC39" i="2"/>
  <c r="AE39" i="2" s="1"/>
  <c r="AC46" i="2"/>
  <c r="AE46" i="2"/>
  <c r="Y46" i="2"/>
  <c r="W26" i="2"/>
  <c r="AC26" i="2" s="1"/>
  <c r="AE26" i="2" s="1"/>
  <c r="E132" i="1"/>
  <c r="E129" i="1"/>
  <c r="E131" i="1"/>
  <c r="E130" i="1"/>
  <c r="F133" i="1"/>
  <c r="AC27" i="2"/>
  <c r="AE27" i="2"/>
  <c r="Y27" i="2"/>
  <c r="Y29" i="2"/>
  <c r="AC29" i="2"/>
  <c r="AE29" i="2"/>
  <c r="AC8" i="2"/>
  <c r="AE8" i="2" s="1"/>
  <c r="H8" i="2"/>
  <c r="H9" i="2" s="1"/>
  <c r="B9" i="2"/>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AU7" i="2"/>
  <c r="AT8" i="2" s="1"/>
  <c r="AU8" i="2" s="1"/>
  <c r="AQ53" i="2"/>
  <c r="C178" i="1" s="1"/>
  <c r="G45" i="3" s="1"/>
  <c r="E40" i="2" l="1"/>
  <c r="J40" i="2" s="1"/>
  <c r="E39" i="2"/>
  <c r="E33" i="2"/>
  <c r="J33" i="2" s="1"/>
  <c r="C177" i="1"/>
  <c r="G19" i="3"/>
  <c r="E114" i="1"/>
  <c r="E34" i="2"/>
  <c r="J34" i="2" s="1"/>
  <c r="H10" i="2"/>
  <c r="H11" i="2" s="1"/>
  <c r="H12" i="2" s="1"/>
  <c r="H13" i="2" s="1"/>
  <c r="H14" i="2" s="1"/>
  <c r="H15" i="2" s="1"/>
  <c r="H16" i="2" s="1"/>
  <c r="H17" i="2" s="1"/>
  <c r="H18" i="2" s="1"/>
  <c r="H19" i="2" s="1"/>
  <c r="H20" i="2" s="1"/>
  <c r="H21" i="2" s="1"/>
  <c r="H22" i="2" s="1"/>
  <c r="H23" i="2" s="1"/>
  <c r="H24" i="2" s="1"/>
  <c r="H25" i="2" s="1"/>
  <c r="H26" i="2" s="1"/>
  <c r="H27" i="2" s="1"/>
  <c r="H28" i="2" s="1"/>
  <c r="H29" i="2" s="1"/>
  <c r="H30" i="2" s="1"/>
  <c r="H31" i="2" s="1"/>
  <c r="E112" i="1"/>
  <c r="O7" i="2"/>
  <c r="P7" i="2" s="1"/>
  <c r="N8" i="2" s="1"/>
  <c r="O8" i="2" s="1"/>
  <c r="P8" i="2" s="1"/>
  <c r="D135" i="1"/>
  <c r="E117" i="1"/>
  <c r="E110" i="1"/>
  <c r="E113" i="1"/>
  <c r="Y8" i="2"/>
  <c r="E133" i="1"/>
  <c r="J39" i="2"/>
  <c r="AK7" i="2"/>
  <c r="AK47" i="2" s="1"/>
  <c r="AK53" i="2" s="1"/>
  <c r="G28" i="3"/>
  <c r="AI7" i="2"/>
  <c r="D90" i="1"/>
  <c r="E42" i="2"/>
  <c r="J42" i="2" s="1"/>
  <c r="E41" i="2"/>
  <c r="J41" i="2" s="1"/>
  <c r="AF8" i="2"/>
  <c r="AG8" i="2" s="1"/>
  <c r="AH8" i="2" s="1"/>
  <c r="AF9" i="2" s="1"/>
  <c r="AO47" i="2"/>
  <c r="AO53" i="2" s="1"/>
  <c r="G44" i="3"/>
  <c r="S2" i="2"/>
  <c r="E45" i="2"/>
  <c r="J45" i="2" s="1"/>
  <c r="E43" i="2"/>
  <c r="J43" i="2" s="1"/>
  <c r="AO7" i="2"/>
  <c r="AS7" i="2" s="1"/>
  <c r="E119" i="1"/>
  <c r="E44" i="2"/>
  <c r="J44" i="2" s="1"/>
  <c r="AS8" i="2"/>
  <c r="AI44" i="2"/>
  <c r="E32" i="2"/>
  <c r="J32" i="2" s="1"/>
  <c r="E37" i="2"/>
  <c r="J37" i="2" s="1"/>
  <c r="E35" i="2"/>
  <c r="J35" i="2" s="1"/>
  <c r="Y32" i="2"/>
  <c r="AC32" i="2"/>
  <c r="AE32" i="2" s="1"/>
  <c r="W16" i="2"/>
  <c r="W12" i="2"/>
  <c r="AI8" i="2"/>
  <c r="AC21" i="2"/>
  <c r="AE21" i="2" s="1"/>
  <c r="G34" i="3"/>
  <c r="C165" i="1"/>
  <c r="Y41" i="2"/>
  <c r="AC41" i="2"/>
  <c r="AE41" i="2" s="1"/>
  <c r="E36" i="2"/>
  <c r="J36" i="2" s="1"/>
  <c r="AC30" i="2"/>
  <c r="AE30" i="2" s="1"/>
  <c r="Y30" i="2"/>
  <c r="M10" i="2"/>
  <c r="C7" i="2"/>
  <c r="AT9" i="2"/>
  <c r="S43" i="2"/>
  <c r="W43" i="2"/>
  <c r="W45" i="2"/>
  <c r="S45" i="2"/>
  <c r="W24" i="2"/>
  <c r="AI46" i="2"/>
  <c r="Y38" i="2"/>
  <c r="AC38" i="2"/>
  <c r="AE38" i="2" s="1"/>
  <c r="W13" i="2"/>
  <c r="W42" i="2"/>
  <c r="S42" i="2"/>
  <c r="AC19" i="2"/>
  <c r="AE19" i="2" s="1"/>
  <c r="G20" i="3"/>
  <c r="H19" i="3"/>
  <c r="E38" i="2"/>
  <c r="J38" i="2" s="1"/>
  <c r="W28" i="2"/>
  <c r="W18" i="2"/>
  <c r="W15" i="2"/>
  <c r="W9" i="2"/>
  <c r="S9" i="2"/>
  <c r="D8" i="2"/>
  <c r="F119" i="1"/>
  <c r="F122" i="1" s="1"/>
  <c r="W34" i="2"/>
  <c r="AC20" i="2"/>
  <c r="AE20" i="2" s="1"/>
  <c r="Z7" i="2"/>
  <c r="U7" i="2"/>
  <c r="Y36" i="2"/>
  <c r="E46" i="2"/>
  <c r="J46" i="2" s="1"/>
  <c r="W10" i="2"/>
  <c r="S10" i="2"/>
  <c r="W35" i="2"/>
  <c r="W22" i="2"/>
  <c r="W17" i="2"/>
  <c r="G26" i="3"/>
  <c r="AR53" i="2"/>
  <c r="AS47" i="2" l="1"/>
  <c r="AS48" i="2" s="1"/>
  <c r="H53" i="2"/>
  <c r="AC42" i="2"/>
  <c r="AE42" i="2" s="1"/>
  <c r="Y42" i="2"/>
  <c r="AI42" i="2" s="1"/>
  <c r="AJ7" i="2"/>
  <c r="AU9" i="2"/>
  <c r="AT10" i="2"/>
  <c r="AC16" i="2"/>
  <c r="AC17" i="2"/>
  <c r="AE17" i="2" s="1"/>
  <c r="D9" i="2"/>
  <c r="D10" i="2" s="1"/>
  <c r="D11" i="2" s="1"/>
  <c r="D12" i="2" s="1"/>
  <c r="D13" i="2" s="1"/>
  <c r="D14" i="2" s="1"/>
  <c r="D15" i="2" s="1"/>
  <c r="D16" i="2" s="1"/>
  <c r="D17" i="2" s="1"/>
  <c r="D18" i="2" s="1"/>
  <c r="D19" i="2" s="1"/>
  <c r="D20" i="2" s="1"/>
  <c r="D21" i="2" s="1"/>
  <c r="AC22" i="2"/>
  <c r="AE22" i="2" s="1"/>
  <c r="AC13" i="2"/>
  <c r="C8" i="2"/>
  <c r="J7" i="2"/>
  <c r="AC28" i="2"/>
  <c r="AE28" i="2" s="1"/>
  <c r="Y28" i="2"/>
  <c r="Y45" i="2"/>
  <c r="AC45" i="2"/>
  <c r="AE45" i="2" s="1"/>
  <c r="N9" i="2"/>
  <c r="G33" i="3"/>
  <c r="C166" i="1"/>
  <c r="AC10" i="2"/>
  <c r="AE10" i="2" s="1"/>
  <c r="AC18" i="2"/>
  <c r="AE18" i="2" s="1"/>
  <c r="H17" i="3"/>
  <c r="H20" i="3" s="1"/>
  <c r="H18" i="3"/>
  <c r="C179" i="1"/>
  <c r="AS53" i="2"/>
  <c r="D94" i="1"/>
  <c r="D95" i="1" s="1"/>
  <c r="Y35" i="2"/>
  <c r="AC35" i="2"/>
  <c r="AE35" i="2" s="1"/>
  <c r="Y34" i="2"/>
  <c r="AC34" i="2"/>
  <c r="AE34" i="2" s="1"/>
  <c r="Y9" i="2"/>
  <c r="AC9" i="2"/>
  <c r="AE9" i="2" s="1"/>
  <c r="H47" i="2"/>
  <c r="AC15" i="2"/>
  <c r="S11" i="2"/>
  <c r="Y43" i="2"/>
  <c r="AC43" i="2"/>
  <c r="AE43" i="2" s="1"/>
  <c r="AA7" i="2"/>
  <c r="AC24" i="2"/>
  <c r="AE24" i="2" s="1"/>
  <c r="AC12" i="2"/>
  <c r="M11" i="2"/>
  <c r="V7" i="2"/>
  <c r="AI43" i="2" l="1"/>
  <c r="S12" i="2"/>
  <c r="AG9" i="2"/>
  <c r="AI9" i="2"/>
  <c r="D47" i="2"/>
  <c r="Y10" i="2"/>
  <c r="E8" i="2"/>
  <c r="C9" i="2"/>
  <c r="AB7" i="2"/>
  <c r="AE11" i="2"/>
  <c r="G46" i="3"/>
  <c r="H46" i="3" s="1"/>
  <c r="C183" i="1"/>
  <c r="AU10" i="2"/>
  <c r="AT11" i="2" s="1"/>
  <c r="M12" i="2"/>
  <c r="O9" i="2"/>
  <c r="AS54" i="2"/>
  <c r="G48" i="3"/>
  <c r="T8" i="2"/>
  <c r="AI45" i="2"/>
  <c r="D53" i="2"/>
  <c r="C163" i="1" s="1"/>
  <c r="G32" i="3" s="1"/>
  <c r="AU11" i="2" l="1"/>
  <c r="AT12" i="2"/>
  <c r="C50" i="3"/>
  <c r="C58" i="3" s="1"/>
  <c r="D177" i="1"/>
  <c r="D180" i="1"/>
  <c r="D194" i="1"/>
  <c r="D178" i="1"/>
  <c r="M13" i="2"/>
  <c r="C10" i="2"/>
  <c r="E9" i="2"/>
  <c r="J9" i="2" s="1"/>
  <c r="J8" i="2"/>
  <c r="U8" i="2"/>
  <c r="D179" i="1"/>
  <c r="K190" i="1"/>
  <c r="D59" i="3"/>
  <c r="H117" i="3" s="1"/>
  <c r="S13" i="2"/>
  <c r="N10" i="2"/>
  <c r="Z8" i="2"/>
  <c r="H44" i="3"/>
  <c r="H47" i="3"/>
  <c r="H45" i="3"/>
  <c r="AH9" i="2"/>
  <c r="AE12" i="2"/>
  <c r="Y11" i="2"/>
  <c r="AI10" i="2"/>
  <c r="AE13" i="2" l="1"/>
  <c r="AF10" i="2"/>
  <c r="O10" i="2"/>
  <c r="P10" i="2" s="1"/>
  <c r="AU12" i="2"/>
  <c r="AT13" i="2"/>
  <c r="E10" i="2"/>
  <c r="J10" i="2"/>
  <c r="C11" i="2"/>
  <c r="V8" i="2"/>
  <c r="M14" i="2"/>
  <c r="Y12" i="2"/>
  <c r="AI11" i="2"/>
  <c r="S14" i="2"/>
  <c r="H48" i="3"/>
  <c r="AJ8" i="2"/>
  <c r="AA8" i="2"/>
  <c r="Y13" i="2" l="1"/>
  <c r="AI12" i="2"/>
  <c r="N11" i="2"/>
  <c r="E11" i="2"/>
  <c r="C12" i="2"/>
  <c r="S15" i="2"/>
  <c r="M15" i="2"/>
  <c r="AG10" i="2"/>
  <c r="AU13" i="2"/>
  <c r="AE14" i="2"/>
  <c r="AB8" i="2"/>
  <c r="T9" i="2"/>
  <c r="O11" i="2" l="1"/>
  <c r="P11" i="2" s="1"/>
  <c r="AE15" i="2"/>
  <c r="M16" i="2"/>
  <c r="C13" i="2"/>
  <c r="E12" i="2"/>
  <c r="J12" i="2"/>
  <c r="J11" i="2"/>
  <c r="Z9" i="2"/>
  <c r="U9" i="2"/>
  <c r="AT14" i="2"/>
  <c r="AH10" i="2"/>
  <c r="S16" i="2"/>
  <c r="Y14" i="2"/>
  <c r="AI13" i="2"/>
  <c r="AE16" i="2" l="1"/>
  <c r="C14" i="2"/>
  <c r="E13" i="2"/>
  <c r="J13" i="2" s="1"/>
  <c r="AF11" i="2"/>
  <c r="M17" i="2"/>
  <c r="V9" i="2"/>
  <c r="N12" i="2"/>
  <c r="AU14" i="2"/>
  <c r="AT15" i="2" s="1"/>
  <c r="Y15" i="2"/>
  <c r="AI14" i="2"/>
  <c r="AJ9" i="2"/>
  <c r="AA9" i="2"/>
  <c r="S17" i="2"/>
  <c r="Y16" i="2" l="1"/>
  <c r="AI15" i="2"/>
  <c r="T10" i="2"/>
  <c r="S18" i="2"/>
  <c r="M18" i="2"/>
  <c r="E14" i="2"/>
  <c r="J14" i="2" s="1"/>
  <c r="C15" i="2"/>
  <c r="AE47" i="2"/>
  <c r="AU15" i="2"/>
  <c r="AT16" i="2" s="1"/>
  <c r="AB9" i="2"/>
  <c r="O12" i="2"/>
  <c r="P12" i="2" s="1"/>
  <c r="AG11" i="2"/>
  <c r="C16" i="2" l="1"/>
  <c r="E15" i="2"/>
  <c r="J15" i="2"/>
  <c r="Z10" i="2"/>
  <c r="N13" i="2"/>
  <c r="AH11" i="2"/>
  <c r="AU16" i="2"/>
  <c r="AT17" i="2" s="1"/>
  <c r="Y17" i="2"/>
  <c r="AI16" i="2"/>
  <c r="U10" i="2"/>
  <c r="M19" i="2"/>
  <c r="S19" i="2"/>
  <c r="AU17" i="2" l="1"/>
  <c r="AT18" i="2"/>
  <c r="O13" i="2"/>
  <c r="P13" i="2" s="1"/>
  <c r="V10" i="2"/>
  <c r="Y18" i="2"/>
  <c r="AI17" i="2"/>
  <c r="S20" i="2"/>
  <c r="AA10" i="2"/>
  <c r="AJ10" i="2"/>
  <c r="M20" i="2"/>
  <c r="AF12" i="2"/>
  <c r="C17" i="2"/>
  <c r="E16" i="2"/>
  <c r="J16" i="2" s="1"/>
  <c r="E17" i="2" l="1"/>
  <c r="C18" i="2"/>
  <c r="J17" i="2"/>
  <c r="T11" i="2"/>
  <c r="S21" i="2"/>
  <c r="N14" i="2"/>
  <c r="O14" i="2" s="1"/>
  <c r="P14" i="2" s="1"/>
  <c r="AU18" i="2"/>
  <c r="AT19" i="2" s="1"/>
  <c r="AB10" i="2"/>
  <c r="AG12" i="2"/>
  <c r="AH12" i="2" s="1"/>
  <c r="M21" i="2"/>
  <c r="Y19" i="2"/>
  <c r="AI18" i="2"/>
  <c r="N15" i="2" l="1"/>
  <c r="O15" i="2" s="1"/>
  <c r="P15" i="2"/>
  <c r="Y20" i="2"/>
  <c r="AI19" i="2"/>
  <c r="AF13" i="2"/>
  <c r="Z11" i="2"/>
  <c r="M22" i="2"/>
  <c r="U11" i="2"/>
  <c r="C19" i="2"/>
  <c r="E18" i="2"/>
  <c r="J18" i="2" s="1"/>
  <c r="S22" i="2"/>
  <c r="AU19" i="2"/>
  <c r="AT20" i="2"/>
  <c r="AU20" i="2" l="1"/>
  <c r="AT21" i="2"/>
  <c r="V11" i="2"/>
  <c r="S23" i="2"/>
  <c r="Y21" i="2"/>
  <c r="AI20" i="2"/>
  <c r="AA11" i="2"/>
  <c r="AJ11" i="2"/>
  <c r="N16" i="2"/>
  <c r="O16" i="2" s="1"/>
  <c r="P16" i="2"/>
  <c r="AG13" i="2"/>
  <c r="AH13" i="2" s="1"/>
  <c r="M23" i="2"/>
  <c r="E19" i="2"/>
  <c r="J19" i="2" s="1"/>
  <c r="C20" i="2"/>
  <c r="M24" i="2" l="1"/>
  <c r="S24" i="2"/>
  <c r="Y22" i="2"/>
  <c r="AI21" i="2"/>
  <c r="C21" i="2"/>
  <c r="E20" i="2"/>
  <c r="J20" i="2" s="1"/>
  <c r="N17" i="2"/>
  <c r="O17" i="2" s="1"/>
  <c r="P17" i="2" s="1"/>
  <c r="T12" i="2"/>
  <c r="AU21" i="2"/>
  <c r="AT22" i="2" s="1"/>
  <c r="AB11" i="2"/>
  <c r="AF14" i="2"/>
  <c r="N18" i="2" l="1"/>
  <c r="O18" i="2" s="1"/>
  <c r="P18" i="2"/>
  <c r="U12" i="2"/>
  <c r="V12" i="2" s="1"/>
  <c r="S25" i="2"/>
  <c r="AG14" i="2"/>
  <c r="AH14" i="2" s="1"/>
  <c r="C22" i="2"/>
  <c r="E21" i="2"/>
  <c r="J21" i="2" s="1"/>
  <c r="AU22" i="2"/>
  <c r="AT23" i="2" s="1"/>
  <c r="Y23" i="2"/>
  <c r="AI22" i="2"/>
  <c r="Z12" i="2"/>
  <c r="M25" i="2"/>
  <c r="S26" i="2" l="1"/>
  <c r="AF15" i="2"/>
  <c r="Y24" i="2"/>
  <c r="AI23" i="2"/>
  <c r="C23" i="2"/>
  <c r="E22" i="2"/>
  <c r="J22" i="2"/>
  <c r="N19" i="2"/>
  <c r="O19" i="2" s="1"/>
  <c r="P19" i="2" s="1"/>
  <c r="AU23" i="2"/>
  <c r="AT24" i="2"/>
  <c r="M26" i="2"/>
  <c r="T13" i="2"/>
  <c r="U13" i="2" s="1"/>
  <c r="V13" i="2"/>
  <c r="AA12" i="2"/>
  <c r="AB12" i="2" s="1"/>
  <c r="AJ12" i="2"/>
  <c r="N20" i="2" l="1"/>
  <c r="O20" i="2" s="1"/>
  <c r="P20" i="2" s="1"/>
  <c r="M27" i="2"/>
  <c r="T14" i="2"/>
  <c r="U14" i="2" s="1"/>
  <c r="V14" i="2" s="1"/>
  <c r="E23" i="2"/>
  <c r="J23" i="2" s="1"/>
  <c r="C24" i="2"/>
  <c r="Y25" i="2"/>
  <c r="AI24" i="2"/>
  <c r="AG15" i="2"/>
  <c r="AH15" i="2" s="1"/>
  <c r="S27" i="2"/>
  <c r="AU24" i="2"/>
  <c r="AT25" i="2"/>
  <c r="Z13" i="2"/>
  <c r="T15" i="2" l="1"/>
  <c r="U15" i="2" s="1"/>
  <c r="V15" i="2" s="1"/>
  <c r="N21" i="2"/>
  <c r="O21" i="2" s="1"/>
  <c r="P21" i="2" s="1"/>
  <c r="AU25" i="2"/>
  <c r="AT26" i="2"/>
  <c r="S28" i="2"/>
  <c r="AF16" i="2"/>
  <c r="AA13" i="2"/>
  <c r="AB13" i="2" s="1"/>
  <c r="AJ13" i="2"/>
  <c r="M28" i="2"/>
  <c r="AI27" i="2"/>
  <c r="E24" i="2"/>
  <c r="J24" i="2" s="1"/>
  <c r="C25" i="2"/>
  <c r="Y26" i="2"/>
  <c r="AI25" i="2"/>
  <c r="N22" i="2" l="1"/>
  <c r="O22" i="2" s="1"/>
  <c r="P22" i="2" s="1"/>
  <c r="T16" i="2"/>
  <c r="U16" i="2" s="1"/>
  <c r="V16" i="2" s="1"/>
  <c r="AI28" i="2"/>
  <c r="M29" i="2"/>
  <c r="Y47" i="2"/>
  <c r="AI26" i="2"/>
  <c r="AU26" i="2"/>
  <c r="AT27" i="2" s="1"/>
  <c r="Z14" i="2"/>
  <c r="AG16" i="2"/>
  <c r="AH16" i="2" s="1"/>
  <c r="S29" i="2"/>
  <c r="E25" i="2"/>
  <c r="J25" i="2" s="1"/>
  <c r="C26" i="2"/>
  <c r="AU27" i="2" l="1"/>
  <c r="AT28" i="2" s="1"/>
  <c r="T17" i="2"/>
  <c r="U17" i="2" s="1"/>
  <c r="V17" i="2" s="1"/>
  <c r="N23" i="2"/>
  <c r="O23" i="2" s="1"/>
  <c r="P23" i="2"/>
  <c r="AF17" i="2"/>
  <c r="AA14" i="2"/>
  <c r="AB14" i="2" s="1"/>
  <c r="AJ14" i="2"/>
  <c r="M30" i="2"/>
  <c r="AI29" i="2"/>
  <c r="E26" i="2"/>
  <c r="J26" i="2" s="1"/>
  <c r="C27" i="2"/>
  <c r="S30" i="2"/>
  <c r="T18" i="2" l="1"/>
  <c r="U18" i="2" s="1"/>
  <c r="V18" i="2" s="1"/>
  <c r="AU28" i="2"/>
  <c r="AT29" i="2" s="1"/>
  <c r="C28" i="2"/>
  <c r="E27" i="2"/>
  <c r="J27" i="2" s="1"/>
  <c r="M31" i="2"/>
  <c r="AI30" i="2"/>
  <c r="AG17" i="2"/>
  <c r="AH17" i="2" s="1"/>
  <c r="N24" i="2"/>
  <c r="O24" i="2" s="1"/>
  <c r="P24" i="2" s="1"/>
  <c r="S31" i="2"/>
  <c r="Z15" i="2"/>
  <c r="C29" i="2" l="1"/>
  <c r="E28" i="2"/>
  <c r="J28" i="2" s="1"/>
  <c r="AF18" i="2"/>
  <c r="S32" i="2"/>
  <c r="T19" i="2"/>
  <c r="U19" i="2" s="1"/>
  <c r="V19" i="2" s="1"/>
  <c r="AI31" i="2"/>
  <c r="M47" i="2"/>
  <c r="N25" i="2"/>
  <c r="O25" i="2" s="1"/>
  <c r="P25" i="2" s="1"/>
  <c r="AU29" i="2"/>
  <c r="AT30" i="2"/>
  <c r="AA15" i="2"/>
  <c r="AB15" i="2" s="1"/>
  <c r="AJ15" i="2"/>
  <c r="AU30" i="2" l="1"/>
  <c r="AT31" i="2"/>
  <c r="N26" i="2"/>
  <c r="O26" i="2" s="1"/>
  <c r="P26" i="2" s="1"/>
  <c r="AI32" i="2"/>
  <c r="S33" i="2"/>
  <c r="T20" i="2"/>
  <c r="U20" i="2" s="1"/>
  <c r="V20" i="2" s="1"/>
  <c r="AG18" i="2"/>
  <c r="AH18" i="2" s="1"/>
  <c r="C30" i="2"/>
  <c r="E29" i="2"/>
  <c r="J29" i="2"/>
  <c r="Z16" i="2"/>
  <c r="T21" i="2" l="1"/>
  <c r="U21" i="2" s="1"/>
  <c r="V21" i="2" s="1"/>
  <c r="N27" i="2"/>
  <c r="O27" i="2" s="1"/>
  <c r="P27" i="2"/>
  <c r="AI33" i="2"/>
  <c r="S34" i="2"/>
  <c r="AU31" i="2"/>
  <c r="AT32" i="2" s="1"/>
  <c r="C31" i="2"/>
  <c r="E30" i="2"/>
  <c r="J30" i="2" s="1"/>
  <c r="AF19" i="2"/>
  <c r="AA16" i="2"/>
  <c r="AB16" i="2" s="1"/>
  <c r="AJ16" i="2"/>
  <c r="AU32" i="2" l="1"/>
  <c r="AT33" i="2"/>
  <c r="T22" i="2"/>
  <c r="U22" i="2" s="1"/>
  <c r="V22" i="2"/>
  <c r="Z17" i="2"/>
  <c r="AG19" i="2"/>
  <c r="AH19" i="2" s="1"/>
  <c r="N28" i="2"/>
  <c r="O28" i="2" s="1"/>
  <c r="P28" i="2" s="1"/>
  <c r="E31" i="2"/>
  <c r="J31" i="2" s="1"/>
  <c r="J47" i="2" s="1"/>
  <c r="C47" i="2"/>
  <c r="C53" i="2"/>
  <c r="AI34" i="2"/>
  <c r="S35" i="2"/>
  <c r="AF20" i="2" l="1"/>
  <c r="C162" i="1"/>
  <c r="AA17" i="2"/>
  <c r="AB17" i="2" s="1"/>
  <c r="AJ17" i="2"/>
  <c r="E47" i="2"/>
  <c r="E53" i="2"/>
  <c r="C167" i="1" s="1"/>
  <c r="G35" i="3" s="1"/>
  <c r="AT34" i="2"/>
  <c r="AU33" i="2"/>
  <c r="T23" i="2"/>
  <c r="U23" i="2" s="1"/>
  <c r="V23" i="2" s="1"/>
  <c r="N29" i="2"/>
  <c r="O29" i="2" s="1"/>
  <c r="P29" i="2" s="1"/>
  <c r="S36" i="2"/>
  <c r="AI35" i="2"/>
  <c r="N30" i="2" l="1"/>
  <c r="O30" i="2" s="1"/>
  <c r="P30" i="2" s="1"/>
  <c r="T24" i="2"/>
  <c r="U24" i="2" s="1"/>
  <c r="V24" i="2" s="1"/>
  <c r="C170" i="1"/>
  <c r="G38" i="3" s="1"/>
  <c r="H35" i="3" s="1"/>
  <c r="G31" i="3"/>
  <c r="AG20" i="2"/>
  <c r="AH20" i="2" s="1"/>
  <c r="AI36" i="2"/>
  <c r="S37" i="2"/>
  <c r="Z18" i="2"/>
  <c r="J53" i="2"/>
  <c r="AT35" i="2"/>
  <c r="AU34" i="2"/>
  <c r="T25" i="2" l="1"/>
  <c r="U25" i="2" s="1"/>
  <c r="V25" i="2" s="1"/>
  <c r="N31" i="2"/>
  <c r="O31" i="2" s="1"/>
  <c r="P31" i="2" s="1"/>
  <c r="AT36" i="2"/>
  <c r="AU35" i="2"/>
  <c r="H31" i="3"/>
  <c r="AA18" i="2"/>
  <c r="AB18" i="2" s="1"/>
  <c r="AJ18" i="2"/>
  <c r="H36" i="3"/>
  <c r="H37" i="3"/>
  <c r="H34" i="3"/>
  <c r="H33" i="3"/>
  <c r="H32" i="3"/>
  <c r="AI37" i="2"/>
  <c r="S38" i="2"/>
  <c r="AF21" i="2"/>
  <c r="H38" i="3" l="1"/>
  <c r="N32" i="2"/>
  <c r="O32" i="2" s="1"/>
  <c r="P32" i="2"/>
  <c r="T26" i="2"/>
  <c r="U26" i="2" s="1"/>
  <c r="V26" i="2" s="1"/>
  <c r="AI38" i="2"/>
  <c r="S39" i="2"/>
  <c r="AU36" i="2"/>
  <c r="AT37" i="2"/>
  <c r="Z19" i="2"/>
  <c r="AG21" i="2"/>
  <c r="AH21" i="2" s="1"/>
  <c r="T27" i="2" l="1"/>
  <c r="U27" i="2" s="1"/>
  <c r="V27" i="2" s="1"/>
  <c r="S40" i="2"/>
  <c r="AI39" i="2"/>
  <c r="AF22" i="2"/>
  <c r="AA19" i="2"/>
  <c r="AB19" i="2" s="1"/>
  <c r="AJ19" i="2"/>
  <c r="N33" i="2"/>
  <c r="O33" i="2" s="1"/>
  <c r="P33" i="2" s="1"/>
  <c r="AU37" i="2"/>
  <c r="AT38" i="2"/>
  <c r="T28" i="2" l="1"/>
  <c r="U28" i="2" s="1"/>
  <c r="V28" i="2" s="1"/>
  <c r="AG22" i="2"/>
  <c r="AH22" i="2" s="1"/>
  <c r="N34" i="2"/>
  <c r="O34" i="2" s="1"/>
  <c r="P34" i="2" s="1"/>
  <c r="Z20" i="2"/>
  <c r="AU38" i="2"/>
  <c r="AT39" i="2"/>
  <c r="S41" i="2"/>
  <c r="AI40" i="2"/>
  <c r="N35" i="2" l="1"/>
  <c r="O35" i="2" s="1"/>
  <c r="P35" i="2" s="1"/>
  <c r="T29" i="2"/>
  <c r="U29" i="2" s="1"/>
  <c r="V29" i="2" s="1"/>
  <c r="AA20" i="2"/>
  <c r="AB20" i="2" s="1"/>
  <c r="AJ20" i="2"/>
  <c r="AF23" i="2"/>
  <c r="AI41" i="2"/>
  <c r="AI47" i="2" s="1"/>
  <c r="S47" i="2"/>
  <c r="AU39" i="2"/>
  <c r="AT40" i="2"/>
  <c r="AI48" i="2" l="1"/>
  <c r="AM47" i="2" s="1"/>
  <c r="AN47" i="2" s="1"/>
  <c r="N36" i="2"/>
  <c r="O36" i="2" s="1"/>
  <c r="P36" i="2"/>
  <c r="Z21" i="2"/>
  <c r="AG23" i="2"/>
  <c r="AH23" i="2" s="1"/>
  <c r="T30" i="2"/>
  <c r="U30" i="2" s="1"/>
  <c r="V30" i="2" s="1"/>
  <c r="AT41" i="2"/>
  <c r="AU40" i="2"/>
  <c r="T31" i="2" l="1"/>
  <c r="U31" i="2" s="1"/>
  <c r="V31" i="2" s="1"/>
  <c r="N37" i="2"/>
  <c r="O37" i="2" s="1"/>
  <c r="P37" i="2" s="1"/>
  <c r="AF24" i="2"/>
  <c r="AA21" i="2"/>
  <c r="AB21" i="2" s="1"/>
  <c r="AJ21" i="2"/>
  <c r="AT42" i="2"/>
  <c r="AU41" i="2"/>
  <c r="N38" i="2" l="1"/>
  <c r="O38" i="2" s="1"/>
  <c r="P38" i="2"/>
  <c r="T32" i="2"/>
  <c r="U32" i="2" s="1"/>
  <c r="V32" i="2" s="1"/>
  <c r="AG24" i="2"/>
  <c r="AH24" i="2" s="1"/>
  <c r="Z22" i="2"/>
  <c r="AT43" i="2"/>
  <c r="AU42" i="2"/>
  <c r="T33" i="2" l="1"/>
  <c r="U33" i="2" s="1"/>
  <c r="V33" i="2"/>
  <c r="N39" i="2"/>
  <c r="O39" i="2" s="1"/>
  <c r="P39" i="2"/>
  <c r="AA22" i="2"/>
  <c r="AB22" i="2" s="1"/>
  <c r="AJ22" i="2"/>
  <c r="AF25" i="2"/>
  <c r="AT44" i="2"/>
  <c r="AU43" i="2"/>
  <c r="T34" i="2" l="1"/>
  <c r="U34" i="2" s="1"/>
  <c r="V34" i="2" s="1"/>
  <c r="AG25" i="2"/>
  <c r="AH25" i="2" s="1"/>
  <c r="Z23" i="2"/>
  <c r="N40" i="2"/>
  <c r="O40" i="2" s="1"/>
  <c r="P40" i="2" s="1"/>
  <c r="AT45" i="2"/>
  <c r="AU44" i="2"/>
  <c r="N41" i="2" l="1"/>
  <c r="O41" i="2" s="1"/>
  <c r="P41" i="2"/>
  <c r="T35" i="2"/>
  <c r="U35" i="2" s="1"/>
  <c r="V35" i="2"/>
  <c r="AA23" i="2"/>
  <c r="AB23" i="2" s="1"/>
  <c r="AJ23" i="2"/>
  <c r="AF26" i="2"/>
  <c r="AU45" i="2"/>
  <c r="AT46" i="2"/>
  <c r="AU46" i="2" s="1"/>
  <c r="AG26" i="2" l="1"/>
  <c r="AH26" i="2" s="1"/>
  <c r="AU53" i="2"/>
  <c r="AU47" i="2"/>
  <c r="AV47" i="2" s="1"/>
  <c r="AW47" i="2" s="1"/>
  <c r="N42" i="2"/>
  <c r="O42" i="2" s="1"/>
  <c r="P42" i="2" s="1"/>
  <c r="Z24" i="2"/>
  <c r="T36" i="2"/>
  <c r="U36" i="2" s="1"/>
  <c r="V36" i="2" s="1"/>
  <c r="T37" i="2" l="1"/>
  <c r="U37" i="2" s="1"/>
  <c r="V37" i="2" s="1"/>
  <c r="N43" i="2"/>
  <c r="O43" i="2" s="1"/>
  <c r="P43" i="2" s="1"/>
  <c r="AA24" i="2"/>
  <c r="AB24" i="2" s="1"/>
  <c r="AJ24" i="2"/>
  <c r="G40" i="3"/>
  <c r="D52" i="3" s="1"/>
  <c r="D173" i="1"/>
  <c r="AF27" i="2"/>
  <c r="N44" i="2" l="1"/>
  <c r="O44" i="2" s="1"/>
  <c r="P44" i="2" s="1"/>
  <c r="T38" i="2"/>
  <c r="U38" i="2" s="1"/>
  <c r="V38" i="2" s="1"/>
  <c r="AG27" i="2"/>
  <c r="AH27" i="2" s="1"/>
  <c r="Z25" i="2"/>
  <c r="N45" i="2" l="1"/>
  <c r="O45" i="2" s="1"/>
  <c r="P45" i="2"/>
  <c r="T39" i="2"/>
  <c r="U39" i="2" s="1"/>
  <c r="V39" i="2" s="1"/>
  <c r="AA25" i="2"/>
  <c r="AB25" i="2" s="1"/>
  <c r="AJ25" i="2"/>
  <c r="AF28" i="2"/>
  <c r="T40" i="2" l="1"/>
  <c r="U40" i="2" s="1"/>
  <c r="V40" i="2"/>
  <c r="AG28" i="2"/>
  <c r="AH28" i="2" s="1"/>
  <c r="Z26" i="2"/>
  <c r="N46" i="2"/>
  <c r="O46" i="2" l="1"/>
  <c r="P46" i="2" s="1"/>
  <c r="N53" i="2"/>
  <c r="N47" i="2"/>
  <c r="O47" i="2" s="1"/>
  <c r="AF29" i="2"/>
  <c r="AA26" i="2"/>
  <c r="AB26" i="2" s="1"/>
  <c r="AJ26" i="2"/>
  <c r="T41" i="2"/>
  <c r="U41" i="2" s="1"/>
  <c r="V41" i="2" s="1"/>
  <c r="T42" i="2" l="1"/>
  <c r="U42" i="2" s="1"/>
  <c r="V42" i="2" s="1"/>
  <c r="Z27" i="2"/>
  <c r="AG29" i="2"/>
  <c r="AH29" i="2" s="1"/>
  <c r="T43" i="2" l="1"/>
  <c r="U43" i="2" s="1"/>
  <c r="V43" i="2"/>
  <c r="AF30" i="2"/>
  <c r="AA27" i="2"/>
  <c r="AB27" i="2" s="1"/>
  <c r="AJ27" i="2"/>
  <c r="Z28" i="2" l="1"/>
  <c r="AG30" i="2"/>
  <c r="AH30" i="2" s="1"/>
  <c r="T44" i="2"/>
  <c r="U44" i="2" s="1"/>
  <c r="V44" i="2"/>
  <c r="AF31" i="2" l="1"/>
  <c r="T45" i="2"/>
  <c r="U45" i="2" s="1"/>
  <c r="V45" i="2" s="1"/>
  <c r="AA28" i="2"/>
  <c r="AB28" i="2" s="1"/>
  <c r="AJ28" i="2"/>
  <c r="T46" i="2" l="1"/>
  <c r="Z29" i="2"/>
  <c r="AG31" i="2"/>
  <c r="AH31" i="2" s="1"/>
  <c r="AF32" i="2" l="1"/>
  <c r="AG32" i="2" s="1"/>
  <c r="AH32" i="2"/>
  <c r="AA29" i="2"/>
  <c r="AB29" i="2" s="1"/>
  <c r="AJ29" i="2"/>
  <c r="U46" i="2"/>
  <c r="T53" i="2"/>
  <c r="T47" i="2"/>
  <c r="U47" i="2" l="1"/>
  <c r="V46" i="2"/>
  <c r="Z30" i="2"/>
  <c r="AF33" i="2"/>
  <c r="AG33" i="2" s="1"/>
  <c r="AH33" i="2"/>
  <c r="AA30" i="2" l="1"/>
  <c r="AB30" i="2" s="1"/>
  <c r="AJ30" i="2"/>
  <c r="AF34" i="2"/>
  <c r="AG34" i="2" s="1"/>
  <c r="AH34" i="2" s="1"/>
  <c r="AF35" i="2" l="1"/>
  <c r="AG35" i="2" s="1"/>
  <c r="AH35" i="2" s="1"/>
  <c r="Z31" i="2"/>
  <c r="AF36" i="2" l="1"/>
  <c r="AG36" i="2" s="1"/>
  <c r="AH36" i="2"/>
  <c r="AA31" i="2"/>
  <c r="AB31" i="2" s="1"/>
  <c r="AJ31" i="2"/>
  <c r="AJ53" i="2" l="1"/>
  <c r="AJ47" i="2"/>
  <c r="Z32" i="2"/>
  <c r="AA32" i="2" s="1"/>
  <c r="AB32" i="2" s="1"/>
  <c r="AF37" i="2"/>
  <c r="AG37" i="2" s="1"/>
  <c r="AH37" i="2" s="1"/>
  <c r="AF38" i="2" l="1"/>
  <c r="AG38" i="2" s="1"/>
  <c r="AH38" i="2" s="1"/>
  <c r="Z33" i="2"/>
  <c r="AA33" i="2" s="1"/>
  <c r="AB33" i="2"/>
  <c r="D158" i="1"/>
  <c r="AM53" i="2"/>
  <c r="AN53" i="2" s="1"/>
  <c r="AV53" i="2" s="1"/>
  <c r="AW53" i="2" s="1"/>
  <c r="G27" i="3" l="1"/>
  <c r="D160" i="1"/>
  <c r="Z34" i="2"/>
  <c r="AA34" i="2" s="1"/>
  <c r="AB34" i="2" s="1"/>
  <c r="AF39" i="2"/>
  <c r="AG39" i="2" s="1"/>
  <c r="AH39" i="2" s="1"/>
  <c r="AF40" i="2" l="1"/>
  <c r="AG40" i="2" s="1"/>
  <c r="AH40" i="2"/>
  <c r="Z35" i="2"/>
  <c r="AA35" i="2" s="1"/>
  <c r="AB35" i="2" s="1"/>
  <c r="D172" i="1"/>
  <c r="D174" i="1" s="1"/>
  <c r="G29" i="3"/>
  <c r="H27" i="3" s="1"/>
  <c r="Z36" i="2" l="1"/>
  <c r="AA36" i="2" s="1"/>
  <c r="AB36" i="2"/>
  <c r="D185" i="1"/>
  <c r="D188" i="1" s="1"/>
  <c r="D191" i="1" s="1"/>
  <c r="D193" i="1"/>
  <c r="C57" i="3" s="1"/>
  <c r="D192" i="1"/>
  <c r="C56" i="3" s="1"/>
  <c r="AF41" i="2"/>
  <c r="AG41" i="2" s="1"/>
  <c r="AH41" i="2" s="1"/>
  <c r="G23" i="3"/>
  <c r="H28" i="3"/>
  <c r="H26" i="3"/>
  <c r="H29" i="3" l="1"/>
  <c r="AF42" i="2"/>
  <c r="AG42" i="2" s="1"/>
  <c r="AH42" i="2" s="1"/>
  <c r="D51" i="3"/>
  <c r="D53" i="3" s="1"/>
  <c r="C54" i="3" s="1"/>
  <c r="G42" i="3"/>
  <c r="Z37" i="2"/>
  <c r="AA37" i="2" s="1"/>
  <c r="AB37" i="2" s="1"/>
  <c r="Z38" i="2" l="1"/>
  <c r="AA38" i="2" s="1"/>
  <c r="AB38" i="2"/>
  <c r="AF43" i="2"/>
  <c r="AG43" i="2" s="1"/>
  <c r="AH43" i="2" s="1"/>
  <c r="AF44" i="2" l="1"/>
  <c r="AG44" i="2" s="1"/>
  <c r="AH44" i="2"/>
  <c r="Z39" i="2"/>
  <c r="AA39" i="2" s="1"/>
  <c r="AB39" i="2" s="1"/>
  <c r="Z40" i="2" l="1"/>
  <c r="AA40" i="2" s="1"/>
  <c r="AB40" i="2" s="1"/>
  <c r="AF45" i="2"/>
  <c r="AG45" i="2" s="1"/>
  <c r="AH45" i="2"/>
  <c r="Z41" i="2" l="1"/>
  <c r="AA41" i="2" s="1"/>
  <c r="AB41" i="2"/>
  <c r="AF46" i="2"/>
  <c r="Z42" i="2" l="1"/>
  <c r="AA42" i="2" s="1"/>
  <c r="AB42" i="2"/>
  <c r="AG46" i="2"/>
  <c r="AF47" i="2"/>
  <c r="AF53" i="2"/>
  <c r="AG47" i="2" l="1"/>
  <c r="AH46" i="2"/>
  <c r="AH47" i="2" s="1"/>
  <c r="Z43" i="2"/>
  <c r="AA43" i="2" s="1"/>
  <c r="AB43" i="2" s="1"/>
  <c r="Z44" i="2" l="1"/>
  <c r="AA44" i="2" s="1"/>
  <c r="AB44" i="2" s="1"/>
  <c r="Z45" i="2" l="1"/>
  <c r="AA45" i="2" s="1"/>
  <c r="AB45" i="2" s="1"/>
  <c r="Z46" i="2" l="1"/>
  <c r="AA46" i="2" l="1"/>
  <c r="Z47" i="2"/>
  <c r="Z53" i="2"/>
  <c r="AA47" i="2" l="1"/>
  <c r="AB46" i="2"/>
</calcChain>
</file>

<file path=xl/sharedStrings.xml><?xml version="1.0" encoding="utf-8"?>
<sst xmlns="http://schemas.openxmlformats.org/spreadsheetml/2006/main" count="1202" uniqueCount="466">
  <si>
    <t>RENOVATION THERMIQUE DE LOGEMENTS SOCIAUX - Régime des compensations de service public</t>
  </si>
  <si>
    <t>Contrôle d'absence de surcompensation d'une opération d'investissement en rénovation thermique de logements sociaux (SIEG)</t>
  </si>
  <si>
    <t>cofinancée par le FEDER</t>
  </si>
  <si>
    <r>
      <t>Test prévisionnel (instruction du dossier - convention attributive) et test actualisé paiement du solde et</t>
    </r>
    <r>
      <rPr>
        <i/>
        <sz val="10"/>
        <rFont val="Arial"/>
        <family val="2"/>
      </rPr>
      <t xml:space="preserve"> </t>
    </r>
    <r>
      <rPr>
        <b/>
        <sz val="10"/>
        <color indexed="10"/>
        <rFont val="Arial"/>
        <family val="2"/>
      </rPr>
      <t xml:space="preserve">a minima tous les 3 ans </t>
    </r>
    <r>
      <rPr>
        <sz val="10"/>
        <rFont val="Arial"/>
        <family val="2"/>
      </rPr>
      <t xml:space="preserve"> (actualisation des données)</t>
    </r>
  </si>
  <si>
    <t xml:space="preserve"> </t>
  </si>
  <si>
    <t>Feuillet 1</t>
  </si>
  <si>
    <t>Test de compensation d'obligations de service public : données à renseigner par l'organisme d'HLM et résultats du test</t>
  </si>
  <si>
    <t>Feuillet 2</t>
  </si>
  <si>
    <t>Détails des paramètres de calcul du contrôle de l'absence de surcompensation</t>
  </si>
  <si>
    <t>Feuillet 3</t>
  </si>
  <si>
    <t>Notice explicative des résultats du test et de la méthode retenue</t>
  </si>
  <si>
    <t>Rappel des bases juridiques pour l'octroi des compensations d'obligations de service public applicable aux organismes d'HLM (OHLM)</t>
  </si>
  <si>
    <t>UE - Traité</t>
  </si>
  <si>
    <t>article 106.2 TFUE</t>
  </si>
  <si>
    <t>article 106.2 du Traité sur le fonctionnement de l'Union européenne (TFUE)</t>
  </si>
  <si>
    <t>« Les entreprises chargées de la gestion de services d'intérêt économique général (…) sont soumises aux règles des traités, notamment aux règles de concurrence,</t>
  </si>
  <si>
    <t>dans les limites où l'application de ces règles ne fait pas échec à l'accomplissement en droit ou en fait de la mission particulière qui leur a été impartie.</t>
  </si>
  <si>
    <t>Le développement des échanges ne doit pas être affecté dans une mesure contraire à l'intérêt de l'Union."</t>
  </si>
  <si>
    <t>UE - Décisions CE</t>
  </si>
  <si>
    <t>2012/21/UE</t>
  </si>
  <si>
    <t>Décision d'application de l'article 106.2 TFUE aux compensations octroyées aux entreprises chargées de la gestion du SIEG de logement social</t>
  </si>
  <si>
    <r>
      <t xml:space="preserve">décision CE de compatibilité a priori </t>
    </r>
    <r>
      <rPr>
        <u/>
        <sz val="8"/>
        <rFont val="Arial"/>
        <family val="2"/>
      </rPr>
      <t>d'application directe</t>
    </r>
    <r>
      <rPr>
        <sz val="8"/>
        <rFont val="Arial"/>
        <family val="2"/>
      </rPr>
      <t xml:space="preserve"> aux OHLM (sans transposition en droit interne)</t>
    </r>
  </si>
  <si>
    <t>2005/842/CE</t>
  </si>
  <si>
    <t>Décision initiale du 19 décembre 2005 abrogée par la décision 2012/21/UE qui est entrée en application au 31 janvier 2012</t>
  </si>
  <si>
    <t>UE - Décision CE 2012/21/UE - dispositions spécifiques au SIEG de logement social - articles de référence</t>
  </si>
  <si>
    <t>considérant 11 et 12</t>
  </si>
  <si>
    <t>spécificités du SIEG du logement social, des hôpitaux et autres services sociaux concernés par la décision CE 2012/21/UE</t>
  </si>
  <si>
    <t>article 2.1.c</t>
  </si>
  <si>
    <r>
      <t xml:space="preserve">exemption de notification </t>
    </r>
    <r>
      <rPr>
        <b/>
        <sz val="8"/>
        <rFont val="Arial"/>
        <family val="2"/>
      </rPr>
      <t>hors seuil</t>
    </r>
    <r>
      <rPr>
        <sz val="8"/>
        <rFont val="Arial"/>
        <family val="2"/>
      </rPr>
      <t xml:space="preserve"> des compensations de certains SIEG sociaux dont le logement social</t>
    </r>
  </si>
  <si>
    <t>article 5.3.d</t>
  </si>
  <si>
    <t>prise en compte des coûts liés aux investissements nécessaires à l'exécution du SIEG</t>
  </si>
  <si>
    <t>article 2.2</t>
  </si>
  <si>
    <t>mandat supérieur à 10 ans - investissements importants - spécificité du SIEG de logement social (considérant 12)</t>
  </si>
  <si>
    <t>article 6.2</t>
  </si>
  <si>
    <t>report de surcompensation limité à 10% de la compensation annuelle en déduction de futures compensations</t>
  </si>
  <si>
    <t>Droit interne : mandat législatif des OHLM (CCH) complété par des mandats individuels par OHLM (convention d'utilité sociale) et par logement (convention APL).</t>
  </si>
  <si>
    <t>CCH</t>
  </si>
  <si>
    <t>Acte législatif de mandat collectif des OHLM de la gestion du SIEG de logement social, complété par Convention d'Utilité Sociale (CUS) et Convention APL</t>
  </si>
  <si>
    <t>SIEG</t>
  </si>
  <si>
    <t>article L411 CCH définit les missions particulières imparties au SIEG de logement social, son périmètre et mandate les OHLM chargés de sa gestion</t>
  </si>
  <si>
    <t>CUS</t>
  </si>
  <si>
    <t>article L445.1 CCH complète ce mandat législatif collectif par une convention par OHLM renouvelable tous les 5 ans</t>
  </si>
  <si>
    <t>Convention APL</t>
  </si>
  <si>
    <t>article R353 CCH complète ce mandat législatif par une convention logement par logement définissant les OSP en matière d'occupation des logements</t>
  </si>
  <si>
    <t>Mandat OHLM</t>
  </si>
  <si>
    <t>note justificative du mandat des OHLM chargés de la gestion du SIEG de logement social en droit interne</t>
  </si>
  <si>
    <t>Principes généraux de la compensation de service public applicables aux organismes d'HLM</t>
  </si>
  <si>
    <r>
      <t xml:space="preserve">1- L'OHLM est chargé de la gestion du SIEG de logement social par plusieurs actes officiels de mandat qui le soumet à des </t>
    </r>
    <r>
      <rPr>
        <b/>
        <sz val="8"/>
        <rFont val="Arial"/>
        <family val="2"/>
      </rPr>
      <t>obligations de service public</t>
    </r>
    <r>
      <rPr>
        <sz val="8"/>
        <rFont val="Arial"/>
        <family val="2"/>
      </rPr>
      <t xml:space="preserve"> (OSP)</t>
    </r>
  </si>
  <si>
    <t xml:space="preserve">2- La compensation ne peut exécéder ce qui est nécessaire à l'exécution de ces obligations de service public (OSP) qui sont imposées à l'OHLM par l'Etat, à savoir : </t>
  </si>
  <si>
    <r>
      <t xml:space="preserve">. obligation de fournir une offre de logements à loyer modéré (construction, gestion, réhabilitation...) : </t>
    </r>
    <r>
      <rPr>
        <b/>
        <sz val="8"/>
        <rFont val="Arial"/>
        <family val="2"/>
      </rPr>
      <t>OSP d'offre de logements (investissement - gestion)</t>
    </r>
  </si>
  <si>
    <r>
      <t xml:space="preserve">. obligation de fournir cette offre dans le respect de loyers plafonds fixés par l'Etat : </t>
    </r>
    <r>
      <rPr>
        <b/>
        <sz val="8"/>
        <rFont val="Arial"/>
        <family val="2"/>
      </rPr>
      <t>OSP tarifaire - accessibilité</t>
    </r>
  </si>
  <si>
    <r>
      <t xml:space="preserve">. obligation d'attribution de cette offre à des ménages sous plafonds de revenus dans le respect d'une procédure spéficique : </t>
    </r>
    <r>
      <rPr>
        <b/>
        <sz val="8"/>
        <rFont val="Arial"/>
        <family val="2"/>
      </rPr>
      <t>OSP attribution - occupation sociale</t>
    </r>
  </si>
  <si>
    <r>
      <t xml:space="preserve">. obligation de garantir une sécurité d'occupation aux ménages bénéficaires par des baux à durée indéterminée : </t>
    </r>
    <r>
      <rPr>
        <b/>
        <sz val="8"/>
        <rFont val="Arial"/>
        <family val="2"/>
      </rPr>
      <t>OSP sécurité d'occupation - continuité du service public</t>
    </r>
  </si>
  <si>
    <r>
      <t xml:space="preserve">. obligation de participer à des mécanismes de garantie mutuelle à des fins de continuité financière du service public (CGLLS) : </t>
    </r>
    <r>
      <rPr>
        <b/>
        <sz val="8"/>
        <rFont val="Arial"/>
        <family val="2"/>
      </rPr>
      <t>OSP continuité financière - mutualisation des risques</t>
    </r>
  </si>
  <si>
    <t>. obligation de lucrativité limité (OSP)</t>
  </si>
  <si>
    <t>3- L'aide à l'opération de rénovation thermique de logements sociaux doit se limiter à couvrir les coûts liés aux investissements nécessaires, moins les recettes générées, plus un bénéfice raisonnable</t>
  </si>
  <si>
    <r>
      <t>sans plafonnement des coûts d'investissement</t>
    </r>
    <r>
      <rPr>
        <i/>
        <sz val="8"/>
        <rFont val="Arial"/>
        <family val="2"/>
      </rPr>
      <t xml:space="preserve"> </t>
    </r>
    <r>
      <rPr>
        <sz val="8"/>
        <rFont val="Arial"/>
        <family val="2"/>
      </rPr>
      <t>dans le respect des OSP qui s'imposent à l'OHLM</t>
    </r>
    <r>
      <rPr>
        <i/>
        <sz val="8"/>
        <rFont val="Arial"/>
        <family val="2"/>
      </rPr>
      <t xml:space="preserve"> (voir la notice explicative de la notion de compensation de service public en feuillet 3)</t>
    </r>
  </si>
  <si>
    <t>MODE D'EMPLOI : pour l'OHLM chargé de la gestion du SIEG de logement social et bénéficiaire du FEDER : compléter les cases jaunes</t>
  </si>
  <si>
    <t>x</t>
  </si>
  <si>
    <r>
      <t xml:space="preserve">A renseigner </t>
    </r>
    <r>
      <rPr>
        <b/>
        <sz val="8"/>
        <rFont val="Arial"/>
        <family val="2"/>
      </rPr>
      <t>obligatoirement</t>
    </r>
    <r>
      <rPr>
        <sz val="8"/>
        <rFont val="Arial"/>
        <family val="2"/>
      </rPr>
      <t xml:space="preserve"> par l'OHLM chargé de la gestion du SIEG et bénéficiaire du FEDER</t>
    </r>
  </si>
  <si>
    <t>Calcul automatique des paramètres nécessaires au contrôle d'absence de surcompensation (ne pas modifier)</t>
  </si>
  <si>
    <t>Commentaire - méthode de calcul - recommandations</t>
  </si>
  <si>
    <t>OSP</t>
  </si>
  <si>
    <r>
      <t>Données relevant d'</t>
    </r>
    <r>
      <rPr>
        <b/>
        <sz val="8"/>
        <rFont val="Arial"/>
        <family val="2"/>
      </rPr>
      <t>Obligations de Service Public</t>
    </r>
    <r>
      <rPr>
        <sz val="8"/>
        <rFont val="Arial"/>
        <family val="2"/>
      </rPr>
      <t xml:space="preserve"> imposées par l'Etat à l'OHLM au titre du SIEG de logement social et justifiant le régime des compensations</t>
    </r>
  </si>
  <si>
    <t>Pièces justificatives</t>
  </si>
  <si>
    <t>Pièces justificatives relatives à l'opération disponibles auprès de l'OHLM en cas de contrôle</t>
  </si>
  <si>
    <t>Détail des calculs de coûts nets, du bénéfice raisonnable et du montant de la compensation - calculs automatiques, pas de données à compléter</t>
  </si>
  <si>
    <t>Notice explicative précisant les dispositions de la décision CE, leur application effective à l'opération, les méthodes de calcul retenues et le résultat du test</t>
  </si>
  <si>
    <t xml:space="preserve">Test d'absence de surcompensation en deux temps : </t>
  </si>
  <si>
    <t>Un "test prévisionnel" à joindre au dossier d'instruction et à annexer à la convention attributive du FEDER</t>
  </si>
  <si>
    <t>Un "test actualisé paiement du solde" par actualisation des données du test prévisionnel (compensations et recettes effectivement perçues)</t>
  </si>
  <si>
    <t>X</t>
  </si>
  <si>
    <t>TEST PREVISIONNEL</t>
  </si>
  <si>
    <t>! Cochez la case correspondante</t>
  </si>
  <si>
    <t>TEST ACTUALISE - PAIEMENT DU SOLDE</t>
  </si>
  <si>
    <t>I : Caractéristiques et données de l'opération</t>
  </si>
  <si>
    <t>Données de base</t>
  </si>
  <si>
    <t>! Données d'une opération fictive à titre indicatif à corriger ou compléter sur base de votre opération</t>
  </si>
  <si>
    <t>OHLM</t>
  </si>
  <si>
    <t>Nom de l'opération - quartier…</t>
  </si>
  <si>
    <t>Opération</t>
  </si>
  <si>
    <t>Réhabilitation thermique de 352 logements, adresse/lieu</t>
  </si>
  <si>
    <t>Référence Système d'Information</t>
  </si>
  <si>
    <t>code synergie ou autre (code délivré par l'autorité de gestion en cas d'acceptation du dossier)</t>
  </si>
  <si>
    <t>PO 2014-2020</t>
  </si>
  <si>
    <t>mesure du programme opérationnel régional (PO) dans laquelle s'inscrit le projet</t>
  </si>
  <si>
    <t>date de référence de l'opération</t>
  </si>
  <si>
    <t>date de décision d'attribution du comité de programmation</t>
  </si>
  <si>
    <t>Nombre de logements rénovés thermiquement</t>
  </si>
  <si>
    <t>logements sociaux à rénover thermiquement</t>
  </si>
  <si>
    <t>Surface totale en m2</t>
  </si>
  <si>
    <r>
      <t>m2 de surface corrigée ou de surface utile (après travaux), donnée utile au calcul des recettes et taxes
La surface corrigée s’applique pour le calcul des loyers des immeubles assujettis à la loi de 1948, des logements conventionnés HLM avant le 1er juillet 1996.
La surface utile s’applique pour le calcul des loyers aux conventions conclues après le 1</t>
    </r>
    <r>
      <rPr>
        <vertAlign val="superscript"/>
        <sz val="8"/>
        <color indexed="8"/>
        <rFont val="Arial"/>
        <family val="2"/>
      </rPr>
      <t>er</t>
    </r>
    <r>
      <rPr>
        <sz val="8"/>
        <color indexed="8"/>
        <rFont val="Arial"/>
        <family val="2"/>
      </rPr>
      <t xml:space="preserve"> juillet 1996</t>
    </r>
  </si>
  <si>
    <t>m2 de surface habitable (après travaux), donnée utile au calcul des recettes et taxes</t>
  </si>
  <si>
    <t>Coût de l'investissement de la rénovation</t>
  </si>
  <si>
    <t>Coût total de l'opération de rénovation TTC</t>
  </si>
  <si>
    <t>ensemble de l'opération de rénovation (assiette FEDER + rénovation hors assiette FEDER)</t>
  </si>
  <si>
    <t>Recettes générées par l'opération</t>
  </si>
  <si>
    <t>Majoration permanente des loyers</t>
  </si>
  <si>
    <r>
      <t>OSP</t>
    </r>
    <r>
      <rPr>
        <sz val="8"/>
        <color indexed="10"/>
        <rFont val="Arial"/>
        <family val="2"/>
      </rPr>
      <t xml:space="preserve"> (Loyer maximum à ne pas dépasser convention APL)</t>
    </r>
  </si>
  <si>
    <r>
      <t>OSP</t>
    </r>
    <r>
      <rPr>
        <sz val="8"/>
        <color indexed="10"/>
        <rFont val="Arial"/>
        <family val="2"/>
      </rPr>
      <t xml:space="preserve"> (Taux d'augmentation annuelle des loyers)</t>
    </r>
  </si>
  <si>
    <r>
      <t xml:space="preserve">Indice de référence, Etat (DHUP) </t>
    </r>
    <r>
      <rPr>
        <b/>
        <sz val="8"/>
        <rFont val="Arial"/>
        <family val="2"/>
      </rPr>
      <t>OSP tarifaire</t>
    </r>
  </si>
  <si>
    <t>Majoration de loyers après travaux</t>
  </si>
  <si>
    <t>Loyer avant travaux de rénovation</t>
  </si>
  <si>
    <t>Loyer après travaux de rénovation</t>
  </si>
  <si>
    <t>Majoration de loyer dans la limite du loyer plafond</t>
  </si>
  <si>
    <t>recettes brutes générées – Total</t>
  </si>
  <si>
    <t>euros/an</t>
  </si>
  <si>
    <t>Majoration temporaire des loyers</t>
  </si>
  <si>
    <t>durée</t>
  </si>
  <si>
    <r>
      <t xml:space="preserve">ans </t>
    </r>
    <r>
      <rPr>
        <b/>
        <i/>
        <sz val="8"/>
        <color indexed="10"/>
        <rFont val="Arial"/>
        <family val="2"/>
      </rPr>
      <t>(à actualiser en cas d'évolution)</t>
    </r>
  </si>
  <si>
    <t>recettes 3ème ligne</t>
  </si>
  <si>
    <r>
      <t xml:space="preserve">euros/an sur 15 ans - 3ème ligne de quittance, </t>
    </r>
    <r>
      <rPr>
        <b/>
        <sz val="8"/>
        <rFont val="Arial"/>
        <family val="2"/>
      </rPr>
      <t>OSP tarifaire</t>
    </r>
  </si>
  <si>
    <t>total recettes brutes générées</t>
  </si>
  <si>
    <r>
      <t>OSP</t>
    </r>
    <r>
      <rPr>
        <sz val="8"/>
        <color indexed="10"/>
        <rFont val="Arial"/>
        <family val="2"/>
      </rPr>
      <t xml:space="preserve"> (taux d'impayés de référence)</t>
    </r>
  </si>
  <si>
    <r>
      <t xml:space="preserve">taux d'impayés de référence fixée par l'Etat (DHUP) </t>
    </r>
    <r>
      <rPr>
        <b/>
        <sz val="8"/>
        <rFont val="Arial"/>
        <family val="2"/>
      </rPr>
      <t>OSP attributions - occupation sociale</t>
    </r>
  </si>
  <si>
    <r>
      <t>OSP</t>
    </r>
    <r>
      <rPr>
        <sz val="8"/>
        <color indexed="10"/>
        <rFont val="Arial"/>
        <family val="2"/>
      </rPr>
      <t xml:space="preserve"> (taux de vacance de référence)</t>
    </r>
  </si>
  <si>
    <r>
      <t xml:space="preserve">taux de vacance de référence fixée par l'Etat (DHUP) </t>
    </r>
    <r>
      <rPr>
        <b/>
        <sz val="8"/>
        <rFont val="Arial"/>
        <family val="2"/>
      </rPr>
      <t>OSP attributions - occupation sociale</t>
    </r>
  </si>
  <si>
    <r>
      <t>OSP</t>
    </r>
    <r>
      <rPr>
        <sz val="8"/>
        <color indexed="10"/>
        <rFont val="Arial"/>
        <family val="2"/>
      </rPr>
      <t xml:space="preserve"> (pertes liées aux taux de vacance et d'impayés)</t>
    </r>
  </si>
  <si>
    <r>
      <t xml:space="preserve">année 1 / recettes brutes imputables FEDER </t>
    </r>
    <r>
      <rPr>
        <b/>
        <sz val="8"/>
        <rFont val="Arial"/>
        <family val="2"/>
      </rPr>
      <t>OSP attributions - occupation sociale</t>
    </r>
  </si>
  <si>
    <t>total recettes nettes</t>
  </si>
  <si>
    <t>recettes nettes annuelles</t>
  </si>
  <si>
    <t>Autres sources de recettes potentielles</t>
  </si>
  <si>
    <t>dégrèvement TFPB, vente de CEE, vente de Kwh photovotaïques…</t>
  </si>
  <si>
    <t>! Recettes non effectives lors de l'instruction et non automatiques à actualiser lors du "test paiement du solde"</t>
  </si>
  <si>
    <t>Dégrèvement « thermique » de TFPB</t>
  </si>
  <si>
    <t xml:space="preserve">Dégrèvement potentiel maximum est égal à 25 % du montant des dépenses éligibles et minorées des subventions affectées au volet thermique perçues. </t>
  </si>
  <si>
    <t>Acte de dégrèvement + État récapitulatif détaillé fourni par l’OHLM permettant de rendre compte du montant de dégrèvement propre à l’opération.</t>
  </si>
  <si>
    <t>Autres dégrèvements de TFPB</t>
  </si>
  <si>
    <t xml:space="preserve">Autres dégrèvements potentiels à raison des dépenses engagées (par exemple pour la réalisation de travaux d’accessibilité et d’adaptation des logements aux personnes en situation de handicap, de travaux prescrits par un PPRT).  </t>
  </si>
  <si>
    <t>! Montant potentiel à insérer dans ce "test prévisionnel" et à actualiser lors du "test paiement du solde"</t>
  </si>
  <si>
    <t>Produits annexes : vente de certificats d'économie d'énergie</t>
  </si>
  <si>
    <t>recettes effectives ou estimées tirées de la vente de certificats d'économie d'énergie imputable au projet (CEE)</t>
  </si>
  <si>
    <t>Contrat de cession</t>
  </si>
  <si>
    <t>dont rétrocession de CEE à une autorité publique</t>
  </si>
  <si>
    <t>montant de la rétrocession des CEE à l'autorité publique en contrepartie de la subvention</t>
  </si>
  <si>
    <t>Convention</t>
  </si>
  <si>
    <t xml:space="preserve"> Produits annexes : vente KWh (photovoltaïque…)</t>
  </si>
  <si>
    <t>recettes annuelles effectives de la revente de KWH à EDF</t>
  </si>
  <si>
    <t>Autres recettes</t>
  </si>
  <si>
    <t>Autres recettes liées à l’opération de rénovation</t>
  </si>
  <si>
    <t>! N'insérer que des recettes effectives - données à actualiser lors du "test paiement du solde"</t>
  </si>
  <si>
    <t>Financement global de l'opération (financement effectif de l'opération de réhabilitation dans sa globalité, volet thermique et non thermique)</t>
  </si>
  <si>
    <t>% subv (hors feder)</t>
  </si>
  <si>
    <t>% total</t>
  </si>
  <si>
    <t>Subventions hors FEDER</t>
  </si>
  <si>
    <t>Subvention Etat</t>
  </si>
  <si>
    <t>Subvention ANRU</t>
  </si>
  <si>
    <t>Subvention ADEME</t>
  </si>
  <si>
    <t>Subvention Région</t>
  </si>
  <si>
    <t>Subvention Département</t>
  </si>
  <si>
    <t>Subvention EPCI</t>
  </si>
  <si>
    <t>Subvention Communes</t>
  </si>
  <si>
    <t>Subvention Action-logement</t>
  </si>
  <si>
    <r>
      <t xml:space="preserve">Autres subventions : </t>
    </r>
    <r>
      <rPr>
        <i/>
        <sz val="8"/>
        <rFont val="Arial"/>
        <family val="2"/>
      </rPr>
      <t>précisez</t>
    </r>
  </si>
  <si>
    <t>Conventions</t>
  </si>
  <si>
    <t>Total subventions hors FEDER</t>
  </si>
  <si>
    <t>Subventions FEDER</t>
  </si>
  <si>
    <t>Total subventions</t>
  </si>
  <si>
    <t>Fonds propres mobilisés par l’OHLM</t>
  </si>
  <si>
    <r>
      <t xml:space="preserve">nature du prêt - </t>
    </r>
    <r>
      <rPr>
        <i/>
        <sz val="8"/>
        <rFont val="Arial"/>
        <family val="2"/>
      </rPr>
      <t>précisez</t>
    </r>
  </si>
  <si>
    <t>Emprunts contractés</t>
  </si>
  <si>
    <t>% emprunt</t>
  </si>
  <si>
    <t>taux d'intérêt</t>
  </si>
  <si>
    <t>Emprunt principal</t>
  </si>
  <si>
    <t>Eco-prêt</t>
  </si>
  <si>
    <t>Contrat de prêt</t>
  </si>
  <si>
    <t>Emprunt complémentaire 1</t>
  </si>
  <si>
    <t>PAM réhab</t>
  </si>
  <si>
    <t>Emprunt complémentaire 2</t>
  </si>
  <si>
    <t>Précisez</t>
  </si>
  <si>
    <t>Emprunt complémentaire 3</t>
  </si>
  <si>
    <t>Total Emprunts contractés</t>
  </si>
  <si>
    <t>Investissement total : coût TTC (hors TVA récupérable)</t>
  </si>
  <si>
    <t>ensemble de l'opération de rénovation (assiette FEDER + rénovation hors assiette FEDER). Si la cellule indique « Erreur », cela signifie que le plan de financement de l’opération n’est pas équilibré.</t>
  </si>
  <si>
    <t>Garantie des emprunts - coût effectif</t>
  </si>
  <si>
    <r>
      <t>Garantie publique gratuite de collectivités locales ou garantie payante CGLLS (</t>
    </r>
    <r>
      <rPr>
        <b/>
        <sz val="8"/>
        <color indexed="10"/>
        <rFont val="Arial"/>
        <family val="2"/>
      </rPr>
      <t>OSP continuité financière du SIEG</t>
    </r>
    <r>
      <rPr>
        <b/>
        <sz val="8"/>
        <rFont val="Arial"/>
        <family val="2"/>
      </rPr>
      <t>)</t>
    </r>
  </si>
  <si>
    <t>Coût de la garantie des emprunts</t>
  </si>
  <si>
    <t>inscrivez 0 si garantie gratuite CL sinon = montant des emprunts * 2% si garantie CGLLS payante</t>
  </si>
  <si>
    <t>Taux de référence retenus</t>
  </si>
  <si>
    <t>année de référence</t>
  </si>
  <si>
    <t>année de décision d'attribution du FEDER par le comité de programmation</t>
  </si>
  <si>
    <t>durée de référence</t>
  </si>
  <si>
    <r>
      <t xml:space="preserve">ans : durée du prêt principal </t>
    </r>
    <r>
      <rPr>
        <b/>
        <i/>
        <sz val="8"/>
        <color indexed="10"/>
        <rFont val="Arial"/>
        <family val="2"/>
      </rPr>
      <t>! En l'absence de prêt inscrire 20 ans.</t>
    </r>
  </si>
  <si>
    <t>Taux moyen du livret A sur long terme</t>
  </si>
  <si>
    <t>Donnée de référence fixée par l'Etat DHUP : agrément des opérations de logements sociaux - LOLA</t>
  </si>
  <si>
    <t>Taux de TVA</t>
  </si>
  <si>
    <r>
      <t xml:space="preserve">Taux réduit de TVA applicable en année de référence </t>
    </r>
    <r>
      <rPr>
        <b/>
        <i/>
        <sz val="8"/>
        <color indexed="10"/>
        <rFont val="Arial"/>
        <family val="2"/>
      </rPr>
      <t>! taux à actualiser en cas d'évolution</t>
    </r>
  </si>
  <si>
    <t>Taux d'actualisation retenu</t>
  </si>
  <si>
    <t>Donnée de référence fixée par l'Etat DHUP</t>
  </si>
  <si>
    <t>Taux d'impayés de référence</t>
  </si>
  <si>
    <t>Taux de vacance de référence</t>
  </si>
  <si>
    <t>Donnée de référence fixée par l'Etat DHUP. Utilisation possible de données locales, si justifié, dans la limite de 3%</t>
  </si>
  <si>
    <t>Coût garantie CGLLS</t>
  </si>
  <si>
    <t>Coût effectif de la garantie de la CGLLS (OSP continuité financière)</t>
  </si>
  <si>
    <t>Taux de rémunération des fonds propres</t>
  </si>
  <si>
    <t>Taux moyen du Livret A (long terme, conformément aux notes techniques de calcul des équilibres d’opérations) + 150 points de base (principe de rémunération des dividendes des sociétés HLM) (OSP lucrativité limitée)</t>
  </si>
  <si>
    <t>Articles L. 423-15 et L. 423-16 du CCH</t>
  </si>
  <si>
    <t>II : Coûts nets, bénéfice raisonnable et absence de surcompensation (art. 5 décision CE)</t>
  </si>
  <si>
    <t>Conformément à l'article 106.2 du Traité, l'Union européenne ne peut interdire ce qui est nécessaire à l'exécution d'un SIEG et ne nuit pas à l'intérêt de l'Union et au développement des échanges intracommunautaires</t>
  </si>
  <si>
    <t>La compensation est compatible a priori avec le Traité dès lors qu'elle n'excède pas ce qui est nécessaire à l'exécution du SIEG de logement social (coûts moins les recettes plus un bénéfice raisonnable).</t>
  </si>
  <si>
    <t>RECETTES</t>
  </si>
  <si>
    <t>COUTS</t>
  </si>
  <si>
    <t>Coûts bruts de référence occasionnés par les travaux de rénovation thermique pour l'OHLM (articles 5.3.a et 5.3.d)</t>
  </si>
  <si>
    <t>Coût de l’opération TTC (hors TVA récupérable)</t>
  </si>
  <si>
    <t>coût éligible des investissements à financer par l'OHLM TVA comprise (ensemble de l'opération de rénovation : assiette FEDER + rénovation hors assiette FEDER)</t>
  </si>
  <si>
    <t>Charge d'intérêts des emprunts</t>
  </si>
  <si>
    <t>charge cumulée d'intérêts des emprunts contractés par l'OHLM pour financer le SIEG, valeur actuelle</t>
  </si>
  <si>
    <t>Garantie des emprunts</t>
  </si>
  <si>
    <t>Garantie publique gratuite ou garantie bancaire CGLLS (OSP continuité financière du SIEG)</t>
  </si>
  <si>
    <t>Total coûts bruts</t>
  </si>
  <si>
    <t>Total coût de référence (charges d'intérêts et de garantie bancaire incluses)</t>
  </si>
  <si>
    <t>Recettes générées, valeur actuelle (cf feuillet 2 exploitation sur durée du prêt principal (article 5.4))</t>
  </si>
  <si>
    <r>
      <t xml:space="preserve">sur durée de référence, valeur actuelle, </t>
    </r>
    <r>
      <rPr>
        <b/>
        <sz val="8"/>
        <rFont val="Arial"/>
        <family val="2"/>
      </rPr>
      <t>dans le respect de la convention APL (OSP tarifaire - loyer plafond)</t>
    </r>
  </si>
  <si>
    <t>3ème ligne quittance rénovation thermique</t>
  </si>
  <si>
    <r>
      <t>limitée à 15 ans après concertation locative, valeur actuelle (</t>
    </r>
    <r>
      <rPr>
        <b/>
        <sz val="8"/>
        <rFont val="Arial"/>
        <family val="2"/>
      </rPr>
      <t>OSP tarifaire et protection des utilisateurs)</t>
    </r>
  </si>
  <si>
    <t>Produits annexes : vente CEE</t>
  </si>
  <si>
    <t>recettes effectives tirées de la vente de certificats d'économie d'énergie par le bénéficiaire</t>
  </si>
  <si>
    <t>Rétrocession CEE à une autorité publique</t>
  </si>
  <si>
    <t>rétrocession totale ou partielle des CEE à une autorité publique en contrepartie de l'octroi d'une subvention</t>
  </si>
  <si>
    <t>Produits annexes vente KWh (photovoltaïque…)</t>
  </si>
  <si>
    <t>recettes annuelles cumulées sur durée de référence, valeur actuelle</t>
  </si>
  <si>
    <t>Impayés de loyers et vacance</t>
  </si>
  <si>
    <r>
      <t>non recette sur durée de référence, valeur actuelle (</t>
    </r>
    <r>
      <rPr>
        <b/>
        <sz val="8"/>
        <rFont val="Arial"/>
        <family val="2"/>
      </rPr>
      <t>OSP occupation sociale)</t>
    </r>
  </si>
  <si>
    <t>Report de surcompensation éventuelle (art. 6.2)</t>
  </si>
  <si>
    <r>
      <t xml:space="preserve">En cas d’absence de surcompensation sur la période précédente, indiquer 0. Si une surcompensation est constatée sur la période précédente, le report de la surcompensation est alors égal au montant renseigné à la cellule D202  lors de la période précédente </t>
    </r>
    <r>
      <rPr>
        <b/>
        <i/>
        <sz val="8"/>
        <color indexed="10"/>
        <rFont val="Arial"/>
        <family val="2"/>
      </rPr>
      <t>(à actualiser en cas d'évolution) - Le montant de la compensation reporté ne doit pas excéder 10%.</t>
    </r>
  </si>
  <si>
    <t>Total recettes</t>
  </si>
  <si>
    <t>sur durée de référence, valeur actuelle</t>
  </si>
  <si>
    <t>Coûts nets (articles 5.5 à 5.8)</t>
  </si>
  <si>
    <t>Coût nets (coûts bruts - recettes)</t>
  </si>
  <si>
    <t>Bénéfice raisonnable</t>
  </si>
  <si>
    <t>Rémunération des fonds propres investis au taux de rémunération maximale des actions des SA d'HLM en application du CCH</t>
  </si>
  <si>
    <t>Coûts nets + bénéfice raisonnable</t>
  </si>
  <si>
    <t>Compensation (articles 2.1.c et 4.d)</t>
  </si>
  <si>
    <t>Compensation des coûts nets</t>
  </si>
  <si>
    <t>compensation = subventions + dégrèvement TFPB (potentiel) + ESB (taux réduit TVA, garantie publique…)</t>
  </si>
  <si>
    <t>Subventions à l'investissement</t>
  </si>
  <si>
    <t>total des subventions à l'investissement mobilisées par l'OHLM, y compris FEDER</t>
  </si>
  <si>
    <t>Dégrèvement « thermique » de TFPB (potentiel)</t>
  </si>
  <si>
    <t>N+2 (valeur actuelle), dégrèvement « thermique » potentiel max.</t>
  </si>
  <si>
    <t>Autres dégrèvements de TFPB (potentiel)</t>
  </si>
  <si>
    <t>N+2 (valeur actuelle), dégrèvement potentiel max.</t>
  </si>
  <si>
    <t>TVA taux réduit</t>
  </si>
  <si>
    <t>le taux réduit rénovation thermique n'est pas une aide spécifique, imputation directe dans les coûts effectifs d'investissement TTC (hors TVA récupérable)</t>
  </si>
  <si>
    <t>Prêts réglementés</t>
  </si>
  <si>
    <t>imputation directe de la charge d'intérêts effective en minoration des coûts bruts d'investissement TTC (hors TVA récupérable)</t>
  </si>
  <si>
    <t>Garantie publique</t>
  </si>
  <si>
    <t>imputation directe de la charge de garantie des prêts en minoration des coûts bruts d'investissement TTC</t>
  </si>
  <si>
    <t>Total compensations</t>
  </si>
  <si>
    <t>Coûts nets + Bénéfice raisonnable - compensations</t>
  </si>
  <si>
    <t>test d'absence de surcompensation</t>
  </si>
  <si>
    <t>Test d'absence de surcompensation</t>
  </si>
  <si>
    <t>si valeur positive : absence de surcompensation, marge d'aides ou de recettes avant surcompensation</t>
  </si>
  <si>
    <t>si valeur négative : surcompensation non nécessaire à l'exécution du SIEG à rembourser ou à reporter partiellement</t>
  </si>
  <si>
    <t>en déduction de futures compensations (max 10% compensation annuelle) soit un report maxi de surcompensation =</t>
  </si>
  <si>
    <t>Report de surcompensation éventuelle (art.6.2)</t>
  </si>
  <si>
    <r>
      <t xml:space="preserve">Le report de la surcompensation est égal au montant de la surcompensation dans la limite de 10% de la compensation annuelle, à reporter sur la période suivante. </t>
    </r>
    <r>
      <rPr>
        <b/>
        <sz val="8"/>
        <color indexed="10"/>
        <rFont val="Arial"/>
        <family val="2"/>
      </rPr>
      <t xml:space="preserve">Lorsque la surcompensation dépasse 10%, elle ne peut être reportée sur l'année suivante et la totalité de la surcompensation doit être récupérée auprès de l'organisme. </t>
    </r>
  </si>
  <si>
    <t>Taux de compensation de l'opération</t>
  </si>
  <si>
    <t>absence de surcompensation de l'opération si inférieur ou égal à 100%</t>
  </si>
  <si>
    <t>Taux de cocompensation du FEDER</t>
  </si>
  <si>
    <t>taux de cocompensation de l'opération par le FEDER</t>
  </si>
  <si>
    <t>Part du FEDER dans la compensation globale</t>
  </si>
  <si>
    <t>% de la subvention FEDER dans l'ensemble de la compensation de l'opération</t>
  </si>
  <si>
    <t>Voir détail des calculs en feuillet 2 et notice explicative du résultat en feuillet 3</t>
  </si>
  <si>
    <t>Calculs détaillés</t>
  </si>
  <si>
    <t>taux d'actualisation des loyers (donnée Etat DHUP)</t>
  </si>
  <si>
    <t>cumul taux d'impayés et de vacance de référence (Etat DHUP)</t>
  </si>
  <si>
    <t>Taux d'actualisation de la trésorerie</t>
  </si>
  <si>
    <t>emprunt total =</t>
  </si>
  <si>
    <t>durée prêt principal ou durée amortissement technique en l’absence de prêt</t>
  </si>
  <si>
    <t xml:space="preserve">Durée d'utilisation </t>
  </si>
  <si>
    <t>RECETTES GENEREES PAR LE PROJET</t>
  </si>
  <si>
    <t>COMPENSATIONS</t>
  </si>
  <si>
    <t>BENEFICE</t>
  </si>
  <si>
    <t>COUT TOTAL</t>
  </si>
  <si>
    <t>Loyers majorés</t>
  </si>
  <si>
    <t>3eme ligne de quittance</t>
  </si>
  <si>
    <t>Pertes</t>
  </si>
  <si>
    <t>CEE</t>
  </si>
  <si>
    <t>Rétrocession CEE</t>
  </si>
  <si>
    <t>KWh</t>
  </si>
  <si>
    <t>TOTAL</t>
  </si>
  <si>
    <t>Charge d'intérêts du prêt principal</t>
  </si>
  <si>
    <t>Charge d'intérêts du prêt complémentaire 1</t>
  </si>
  <si>
    <t>Charge d'intérêt du prêt complémentaire 2</t>
  </si>
  <si>
    <t>Charge d'intérêts du prêt complémentaire 3</t>
  </si>
  <si>
    <t>Garantie</t>
  </si>
  <si>
    <t>Investissement</t>
  </si>
  <si>
    <t>TOTAL BRUT</t>
  </si>
  <si>
    <t>TOTAL NET</t>
  </si>
  <si>
    <t>Subventions</t>
  </si>
  <si>
    <t>TVA</t>
  </si>
  <si>
    <t>TFPB</t>
  </si>
  <si>
    <t>Année</t>
  </si>
  <si>
    <t>Taux d'actualisation</t>
  </si>
  <si>
    <t>Majoration des loyers</t>
  </si>
  <si>
    <t>Majoration temporaire 15 ans</t>
  </si>
  <si>
    <t>Impayés et vacance proratisés</t>
  </si>
  <si>
    <t>Produit de la vente</t>
  </si>
  <si>
    <t>Rétrocession des CEE à l'autorité publique</t>
  </si>
  <si>
    <t>Produit annuel de la vente</t>
  </si>
  <si>
    <t>Recettes nettes</t>
  </si>
  <si>
    <t>Taux d'intérêt</t>
  </si>
  <si>
    <t>Annuités</t>
  </si>
  <si>
    <t>Intérêts</t>
  </si>
  <si>
    <t>Amortissement</t>
  </si>
  <si>
    <t>CRD</t>
  </si>
  <si>
    <t>annuités</t>
  </si>
  <si>
    <t>2% du montant des prêts contractés</t>
  </si>
  <si>
    <t>Total coûts nets</t>
  </si>
  <si>
    <t>Total</t>
  </si>
  <si>
    <t>taux réduit (hors aide, non spécifique SIEG)</t>
  </si>
  <si>
    <t>dégrèvement « thermique » N+2</t>
  </si>
  <si>
    <t>autres dégrèvement N+2</t>
  </si>
  <si>
    <t xml:space="preserve">  </t>
  </si>
  <si>
    <t>cumul</t>
  </si>
  <si>
    <t>dont charge d'intérêts</t>
  </si>
  <si>
    <t>report maximal de surcompensation (10%) soit</t>
  </si>
  <si>
    <t>Résultats en valeur actuelle</t>
  </si>
  <si>
    <t>Recettes</t>
  </si>
  <si>
    <t>Coûts bruts et coûts nets</t>
  </si>
  <si>
    <t>Compensation</t>
  </si>
  <si>
    <t>Contrôle d'absence de surcompensation</t>
  </si>
  <si>
    <t>valeur actuelle</t>
  </si>
  <si>
    <t>valeur réelle</t>
  </si>
  <si>
    <t>Majoration de loyers</t>
  </si>
  <si>
    <t>3ème ligne de quittance</t>
  </si>
  <si>
    <t>Non recettes (impayés et vacance)</t>
  </si>
  <si>
    <t>Vente CEE</t>
  </si>
  <si>
    <t>Vente KWh</t>
  </si>
  <si>
    <t>intérêts</t>
  </si>
  <si>
    <t>Garantie de référence</t>
  </si>
  <si>
    <t>Investissement assiette éligible FEDER TTC (hors TVA récupérable)</t>
  </si>
  <si>
    <t>Subventions directes</t>
  </si>
  <si>
    <t>Dégrèvement « thermique » TFPB N+2</t>
  </si>
  <si>
    <t>Autre dégrèvement  TFPB N+2</t>
  </si>
  <si>
    <t>Compensation totale</t>
  </si>
  <si>
    <t>Coûts nets + bénéfice raisonnable - compensation</t>
  </si>
  <si>
    <t xml:space="preserve">report maximal de surcompensation (10%) soit </t>
  </si>
  <si>
    <t>RENOVATION THERMIQUE DE LOGEMENTS SOCIAUX</t>
  </si>
  <si>
    <t>Notice explicative du régime de la compensation et méthode de calcul retenue</t>
  </si>
  <si>
    <r>
      <t>Nature de l'opération</t>
    </r>
    <r>
      <rPr>
        <sz val="8"/>
        <rFont val="Arial"/>
        <family val="2"/>
      </rPr>
      <t xml:space="preserve"> : investissement dans une infrastructure nécessaire au fonctionnement du SIEG de logement social</t>
    </r>
  </si>
  <si>
    <t>et à l'exécution des obligations de service public imposées par mandat de l'Etat aux organismes d'HLM</t>
  </si>
  <si>
    <r>
      <t xml:space="preserve">Spécificité : </t>
    </r>
    <r>
      <rPr>
        <sz val="8"/>
        <rFont val="Arial"/>
        <family val="2"/>
      </rPr>
      <t>cofinancement des investissements nécessaires par des aides publiques, dont FEDER</t>
    </r>
  </si>
  <si>
    <t>Aide publique compatible si absence de surcompensation : décision</t>
  </si>
  <si>
    <t>sous condition de mandat des OHLM (art.4), note justificative :</t>
  </si>
  <si>
    <r>
      <t>Condition</t>
    </r>
    <r>
      <rPr>
        <sz val="8"/>
        <rFont val="Arial"/>
        <family val="2"/>
      </rPr>
      <t xml:space="preserve"> : la compensation ne peut être supérieure aux </t>
    </r>
    <r>
      <rPr>
        <b/>
        <sz val="8"/>
        <rFont val="Arial"/>
        <family val="2"/>
      </rPr>
      <t>coûts nets</t>
    </r>
    <r>
      <rPr>
        <sz val="8"/>
        <rFont val="Arial"/>
        <family val="2"/>
      </rPr>
      <t xml:space="preserve"> + un </t>
    </r>
    <r>
      <rPr>
        <b/>
        <sz val="8"/>
        <rFont val="Arial"/>
        <family val="2"/>
      </rPr>
      <t>bénéfice raisonnable</t>
    </r>
    <r>
      <rPr>
        <sz val="8"/>
        <rFont val="Arial"/>
        <family val="2"/>
      </rPr>
      <t xml:space="preserve"> (art.5.1 de la Décision 2012/21/UE)</t>
    </r>
  </si>
  <si>
    <t>Test établi sur la durée de remboursement du prêt principal ou sur la durée d’amortissement technique en l’absence de prêt soit :</t>
  </si>
  <si>
    <t>ans</t>
  </si>
  <si>
    <t>Rappel : Plan de financement de l'investissement</t>
  </si>
  <si>
    <t>Fonds propres investis par l'organisme HLM bénéficiaire du FEDER</t>
  </si>
  <si>
    <t>Emprunts contractés par l'organisme HLM bénéficiaire du FEDER</t>
  </si>
  <si>
    <t>Aides publiques mobilisées par l'organisme HLM, dont FEDER</t>
  </si>
  <si>
    <t>Total investissement généré</t>
  </si>
  <si>
    <t>Les coûts nets = coûts bruts - les recettes éventuelles tirées de l'investissement (art.5.2) =</t>
  </si>
  <si>
    <t xml:space="preserve">dont : </t>
  </si>
  <si>
    <t>les coûts bruts (art.5.3 dont art.5.3.d relatif aux investissements)</t>
  </si>
  <si>
    <t>les coûts liés aux investissements en travaux TVA comprise</t>
  </si>
  <si>
    <t>la charge d'intérêts compte tenu des emprunts contractés</t>
  </si>
  <si>
    <t>la charge de garantie des emprunts</t>
  </si>
  <si>
    <t>total coûts bruts</t>
  </si>
  <si>
    <t>les recettes éventuelles générées (art.5.4)</t>
  </si>
  <si>
    <t>majoration permanente des loyers</t>
  </si>
  <si>
    <t>introduction temporaire d'une 3ème ligne de quittance "rénovation thermique"</t>
  </si>
  <si>
    <t>produits annexes (vente de CEE, vente de Kwh)</t>
  </si>
  <si>
    <t>rétrocession des CEE à une autorité publique en contrepartie de la subvention</t>
  </si>
  <si>
    <t>non recettes liées aux impayés et à la vacance (taux de référence Etat DHUP)</t>
  </si>
  <si>
    <t>Report de surcompensation (art. 6.2)</t>
  </si>
  <si>
    <t>total recettes générées</t>
  </si>
  <si>
    <t>Le bénéfice raisonnable (art.5.5 à 5.8) sur durée du prêt principal (valeur actuelle)</t>
  </si>
  <si>
    <t>(rendement des capitaux propres moyen (art.5.8) sur durée d'amortissement)</t>
  </si>
  <si>
    <t>Les coûts nets + bénéfice raisonnable</t>
  </si>
  <si>
    <t>La compensation = la somme des "cocompensations" directes et indirectes, dont FEDER</t>
  </si>
  <si>
    <t>Total des subventions, y compris FEDER</t>
  </si>
  <si>
    <t>Dégrèvement « thermique » de TFPB (valeur actuelle)</t>
  </si>
  <si>
    <t>Autres dégrèvements de TFPB (valeur actuelle)</t>
  </si>
  <si>
    <t>Taux réduit de TVA (1)</t>
  </si>
  <si>
    <t>Coûts nets</t>
  </si>
  <si>
    <t>Solde (2)</t>
  </si>
  <si>
    <t>si positif : absence de surcompensation. Marge d'aides ou de recettes avant surcompensation</t>
  </si>
  <si>
    <t>si négatif : surcompensation à rembourser</t>
  </si>
  <si>
    <t>taux de compensation (3)</t>
  </si>
  <si>
    <t>(le taux ne peut être supérieur à 100%)</t>
  </si>
  <si>
    <t>dont taux de compensation FEDER</t>
  </si>
  <si>
    <t>(taux de couverture des coûts nets et du bénéfice raisonnable par le FEDER)</t>
  </si>
  <si>
    <t>part du FEDER / compensation</t>
  </si>
  <si>
    <t>(part de la subvention FEDER dans la compensation totale)</t>
  </si>
  <si>
    <t>report de surcompensation éventuelle (2)</t>
  </si>
  <si>
    <t>(10% du montant de la compensation annuelle)</t>
  </si>
  <si>
    <t>Méthode de calcul retenue</t>
  </si>
  <si>
    <t>Compensation de coûts d'investissement nécessaires à l'exécution du SIEG de logement social et de ses obligations de service public</t>
  </si>
  <si>
    <r>
      <t>Dispositions propres aux compensations de SIEG sociaux (</t>
    </r>
    <r>
      <rPr>
        <b/>
        <i/>
        <sz val="8"/>
        <rFont val="Arial"/>
        <family val="2"/>
      </rPr>
      <t>considérant 11, article 2.1.c Décision 2012/21/UE</t>
    </r>
    <r>
      <rPr>
        <b/>
        <sz val="8"/>
        <rFont val="Arial"/>
        <family val="2"/>
      </rPr>
      <t>)</t>
    </r>
  </si>
  <si>
    <t>Principes généraux (article 5 Décision 2012/21/UE)</t>
  </si>
  <si>
    <t>La compensation ne peut être supérieure aux coûts nets + un bénéfice raisonnable</t>
  </si>
  <si>
    <t>Les coûts nets sont les coûts bruts de l'opération de rénovation moins les recettes éventuelles directement tirées de l'opération (augmentation des loyers par ex.)</t>
  </si>
  <si>
    <t>Les coûts bruts sont les coûts effectifs de l'opération de rénovation.</t>
  </si>
  <si>
    <r>
      <t>La compensation est la somme des aides perçues par l'OHLM, absence de plafonnement de l'intensité de l'aide - logique de compensation de coûts nets non plafonnée (</t>
    </r>
    <r>
      <rPr>
        <i/>
        <sz val="8"/>
        <rFont val="Arial"/>
        <family val="2"/>
      </rPr>
      <t>art.2.1.c Décision 2012/21/UE</t>
    </r>
    <r>
      <rPr>
        <sz val="8"/>
        <rFont val="Arial"/>
        <family val="2"/>
      </rPr>
      <t>)</t>
    </r>
  </si>
  <si>
    <t>Les coûts bruts de l'opération (art 5.3)</t>
  </si>
  <si>
    <t>Les coûts effectifs de l'opération d'investissement à savoir :</t>
  </si>
  <si>
    <t xml:space="preserve"> -  les coûts liés aux travaux de rénovation, tenant compte du taux réduit de TVA applicable au logement social (hors TVA récupérable)</t>
  </si>
  <si>
    <t xml:space="preserve"> -  la charge effective d'intérêts des emprunts, y compris les prêts réglementés CDC et Action-logement (avantage de taux venant minorer les coûts bruts)</t>
  </si>
  <si>
    <t xml:space="preserve"> - la charge de garantie de ces emprunts en l'absence de garantie gratuite des collectivités locales</t>
  </si>
  <si>
    <t xml:space="preserve"> - pas de prise en compte du bénéfice des prêts de haut de bilan de la CDC non imputables à une opération individuelle</t>
  </si>
  <si>
    <t>Les coûts nets (art. 5.2)</t>
  </si>
  <si>
    <t>Les coûts bruts - les recette directement générées par l'opération de rénovation</t>
  </si>
  <si>
    <t>Les recettes actualisées (art. 5.4)</t>
  </si>
  <si>
    <t xml:space="preserve">  l'augmentation permanente des loyers directement imputable aux travaux de rénovation , valeur actuelle sur durée d'amortissement</t>
  </si>
  <si>
    <t xml:space="preserve">  l'augmentation temporaire des loyers directement imputable aux travaux de rénovation thermique (3ème ligne de quittance) - valeur actuelle sur 15 ans</t>
  </si>
  <si>
    <t>Non recettes locatives : non recettes actualisées liées à la vacance et aux impayés (taux de référence Etat DHUP, donnée proratisée, valeur actuelle)</t>
  </si>
  <si>
    <t xml:space="preserve">  la vente de certificats d'économie d'énergie, déduction faite de leurs éventuelles rétrocessions partielles aux autorités publiques.</t>
  </si>
  <si>
    <r>
      <t xml:space="preserve">Pour bénéficier du dispositifs des CEE :
</t>
    </r>
    <r>
      <rPr>
        <i/>
        <sz val="8"/>
        <color indexed="8"/>
        <rFont val="Arial"/>
        <family val="2"/>
      </rPr>
      <t>a. soit directement, en faisant une demande auprès du Pôle National des CEE (PNCEE) pour les travaux réalisés.
Dans ce cas, le montant des CEE peut être estimé sur le calculateur de l'Ademe (http://calculateur-cee.ademe.fr/).
b. soit indirectement, en se faisant accompagner par un obligé. Dans ce cas le montant est négocié avec l'obligé. Tout dépend du contrat conclu avec l'obligé, qui peut s'engager sur une contribution donnée en amont des travaux.</t>
    </r>
  </si>
  <si>
    <t xml:space="preserve">  la vente de Kwh d'énergie photovoltaïque ou autres... </t>
  </si>
  <si>
    <t>La compensation</t>
  </si>
  <si>
    <t xml:space="preserve">  Subvention FEDER</t>
  </si>
  <si>
    <t xml:space="preserve">  Autres subventions directes des autorités publiques (plan de financement de référence)</t>
  </si>
  <si>
    <t xml:space="preserve">  Dégrèvement de TFPB : montant maximal de dégrèvement en N+2 (valeur actuelle), égal au montant des dépenses éligibles et minorées des subventions affectées au volet thermique perçues. Donnée à actualisée lors du test paiement du solde</t>
  </si>
  <si>
    <t>A noter autres avantages économiques pris en compte venant minorer directement les coûts bruts</t>
  </si>
  <si>
    <t>Il n’y a pas lieu de procéder à un calcul d’équivalent de subvention (ESB) s’agissant des emprunts dont bénéficient les organismes HLM</t>
  </si>
  <si>
    <t xml:space="preserve">  Taux réduit de TVA : taux de référence moyen de 5,5%, avantage directement imputé en minoration des coûts bruts TTC (hors TVA récupérable)</t>
  </si>
  <si>
    <t xml:space="preserve">  Prêts réglementés CDC et Action-logement : avantage de taux imputé en minoration de la charge d'intérêts des coûts bruts TTC (hors TVA récupérable). </t>
  </si>
  <si>
    <t xml:space="preserve">  Garantie publique gratuite des emprunts : avantage directement imputé en minoration des coûts bruts TTC (hors TVA récupérable).</t>
  </si>
  <si>
    <t>Il n’y a pas lieu de prendre en compte les prêts de haut de bilan de la CDC, car il s’agit d’un apport en quasi-fonds propres non imputable à une opération individuelle.</t>
  </si>
  <si>
    <t>Le bénéfice raisonnable (art. 5.5 à 5.8)</t>
  </si>
  <si>
    <t>Bénéfice raisonnable : rémunération des fonds propres sur durée d'amortissement au taux moyen du Livret A (Donnée Etat DHUP) augmenté de 150 points de base</t>
  </si>
  <si>
    <t>Autres paramètres de référence</t>
  </si>
  <si>
    <t>Calcul établi sur base de la durée d'amortissement du prêt principal ou sur la durée d’amortissement technique en l’absence de prêt</t>
  </si>
  <si>
    <t>(1) : en matière de rénovation thermique, le taux réduit de TVA n'est pas une disposition propre au SIEG de logement social</t>
  </si>
  <si>
    <t>mais une disposition d'ordre général dont bénéficie tout investisseur en travaux de rénovation thermique de logements</t>
  </si>
  <si>
    <t>Le bénéfice de taux réduit est imputé directement dans les coûts d'investissement TTC (hors TVA récupérable)</t>
  </si>
  <si>
    <t>(2) si le solde est positif, il s'agit de la marge d'aides ou de recettes avant surcompensation. S'il est négatif, il s'agit d'une surcompensation</t>
  </si>
  <si>
    <t>non nécessaire à l'exécution du SIEG qui doit faire l'objet d'un remboursement car considérée comme étant "susceptible</t>
  </si>
  <si>
    <t>de fausser la concurrence au sein du marché intérieur et d'affecter le développement des échanges intracommunautaires"</t>
  </si>
  <si>
    <t>en accordant un avantage économique à l'OHLM bénéficiaire.</t>
  </si>
  <si>
    <t>Un report de surcompensation éventuelle en déduction de futures compensations est toutefois autorisé à concurrence de :</t>
  </si>
  <si>
    <t>En conséquence, le remboursement effectif d'une éventuelle surcompensation ne peut intervenir qu'au-dela de ce montant.</t>
  </si>
  <si>
    <t>(3) le taux de compensation doit être inférieur ou égal à 100 %</t>
  </si>
  <si>
    <r>
      <t>Pour les emprunts adossés sur la ressource du fonds d'épargne, et dont le calcul correspond au taux du livret A ± marge (Cf. note technique DHUP),</t>
    </r>
    <r>
      <rPr>
        <b/>
        <sz val="8"/>
        <rFont val="Arial"/>
        <family val="2"/>
      </rPr>
      <t xml:space="preserve"> le taux doit être calculé en utilisant </t>
    </r>
    <r>
      <rPr>
        <b/>
        <u/>
        <sz val="8"/>
        <rFont val="Arial"/>
        <family val="2"/>
      </rPr>
      <t>le taux du livret A long terme</t>
    </r>
    <r>
      <rPr>
        <sz val="8"/>
        <rFont val="Arial"/>
        <family val="2"/>
      </rPr>
      <t xml:space="preserve"> (exemple, emprunt PAM, taux intérêt = livret A + 0,6%)</t>
    </r>
  </si>
  <si>
    <t>Note DHUP 12/09/2024</t>
  </si>
  <si>
    <t>Intérêts cumulés des prêts sur la période de référence du test (durée du prêt principal ou 20 ans en l'absence de prêt)</t>
  </si>
  <si>
    <t>charge d'intérêts cumulés actualisée totale des prêts sur la période de référence du test</t>
  </si>
  <si>
    <r>
      <t xml:space="preserve">Calculs en valeur actuelle sur base d'une durée d'amortissement des investissements (durée du prêt principal </t>
    </r>
    <r>
      <rPr>
        <sz val="8"/>
        <color indexed="10"/>
        <rFont val="Arial"/>
        <family val="2"/>
      </rPr>
      <t>ou 20 ans en l'absence de prêt principal</t>
    </r>
    <r>
      <rPr>
        <sz val="8"/>
        <rFont val="Arial"/>
        <family val="2"/>
      </rPr>
      <t>). Non application de l’ESB, minoration directe des coûts bruts d’investissement.</t>
    </r>
  </si>
  <si>
    <t>Version n°7.0 du 29 janvier 2025</t>
  </si>
  <si>
    <r>
      <t xml:space="preserve">charge d'intérêts cumulés </t>
    </r>
    <r>
      <rPr>
        <u/>
        <sz val="8"/>
        <color indexed="10"/>
        <rFont val="Arial"/>
        <family val="2"/>
      </rPr>
      <t>sur la durée de référence du test</t>
    </r>
  </si>
  <si>
    <t xml:space="preserve">Recettes générées par le site 1 </t>
  </si>
  <si>
    <t xml:space="preserve">Nom du site : </t>
  </si>
  <si>
    <t>Recettes générées par le site 2</t>
  </si>
  <si>
    <t>Recettes générées par le site 3</t>
  </si>
  <si>
    <t xml:space="preserve">Recettes générées par le site 4 </t>
  </si>
  <si>
    <t>Surface totale en m2 de surface corrigée  (après travaux)</t>
  </si>
  <si>
    <t>Surface totale en m2 de surface habitable (après travaux)</t>
  </si>
  <si>
    <r>
      <t>OSP</t>
    </r>
    <r>
      <rPr>
        <sz val="8"/>
        <color indexed="10"/>
        <rFont val="Arial"/>
        <family val="2"/>
      </rPr>
      <t xml:space="preserve"> (Majoration temporaire de loyer "3ème ligne")</t>
    </r>
  </si>
  <si>
    <t>Recettes générées par le site 5</t>
  </si>
  <si>
    <t xml:space="preserve">Recettes générées par le site 6 </t>
  </si>
  <si>
    <t xml:space="preserve">Recettes générées par le site 7 </t>
  </si>
  <si>
    <t>Recettes générées par le site 8</t>
  </si>
  <si>
    <t>Recettes générées par le site 9</t>
  </si>
  <si>
    <t>Recettes générées par le site 10</t>
  </si>
  <si>
    <t>Recettes générées par le site 11</t>
  </si>
  <si>
    <t>Recettes générées par le site 12</t>
  </si>
  <si>
    <t>Recettes générées par le site 13</t>
  </si>
  <si>
    <t>Recettes générées par le site 14</t>
  </si>
  <si>
    <t>Recettes générées par le site 15</t>
  </si>
  <si>
    <t>Recettes générées par le site 16</t>
  </si>
  <si>
    <t>Recettes générées par le site 17</t>
  </si>
  <si>
    <t>Recettes générées par le site 18</t>
  </si>
  <si>
    <t>Recettes générées par le site 19</t>
  </si>
  <si>
    <t>Recettes générées par le site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</si>
</sst>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6" formatCode="\ * #,##0.00&quot; € &quot;;\-* #,##0.00&quot; € &quot;;\ * \-#&quot; € &quot;;@\ "/>
    <numFmt numFmtId="167" formatCode="#,##0.00\ ;\-#,##0.00\ "/>
    <numFmt numFmtId="168" formatCode="0.0%"/>
    <numFmt numFmtId="169" formatCode="\ * #,##0.00&quot;    &quot;;\-* #,##0.00&quot;    &quot;;\ * \-#&quot;    &quot;;@\ "/>
    <numFmt numFmtId="170" formatCode="#,##0\ ;\-#,##0\ "/>
    <numFmt numFmtId="171" formatCode="#,##0\ ;[Red]\-#,##0\ "/>
    <numFmt numFmtId="172" formatCode="#,##0&quot; €&quot;;[Red]\-#,##0&quot; €&quot;"/>
    <numFmt numFmtId="173" formatCode="#,##0.00&quot; €&quot;"/>
  </numFmts>
  <fonts count="36" x14ac:knownFonts="1">
    <font>
      <sz val="10"/>
      <name val="Arial"/>
      <family val="2"/>
    </font>
    <font>
      <sz val="8"/>
      <name val="Arial"/>
      <family val="2"/>
    </font>
    <font>
      <b/>
      <sz val="10"/>
      <name val="Arial"/>
      <family val="2"/>
    </font>
    <font>
      <b/>
      <sz val="8"/>
      <name val="Arial"/>
      <family val="2"/>
    </font>
    <font>
      <i/>
      <sz val="10"/>
      <name val="Arial"/>
      <family val="2"/>
    </font>
    <font>
      <b/>
      <sz val="10"/>
      <color indexed="10"/>
      <name val="Arial"/>
      <family val="2"/>
    </font>
    <font>
      <u/>
      <sz val="8"/>
      <color indexed="48"/>
      <name val="Arial"/>
      <family val="2"/>
    </font>
    <font>
      <u/>
      <sz val="10"/>
      <color indexed="12"/>
      <name val="Arial"/>
      <family val="2"/>
    </font>
    <font>
      <u/>
      <sz val="8"/>
      <name val="Arial"/>
      <family val="2"/>
    </font>
    <font>
      <u/>
      <sz val="8"/>
      <color indexed="12"/>
      <name val="Arial"/>
      <family val="2"/>
    </font>
    <font>
      <i/>
      <sz val="8"/>
      <name val="Arial"/>
      <family val="2"/>
    </font>
    <font>
      <b/>
      <i/>
      <sz val="8"/>
      <color indexed="10"/>
      <name val="Arial"/>
      <family val="2"/>
    </font>
    <font>
      <vertAlign val="superscript"/>
      <sz val="8"/>
      <color indexed="8"/>
      <name val="Arial"/>
      <family val="2"/>
    </font>
    <font>
      <sz val="8"/>
      <color indexed="8"/>
      <name val="Arial"/>
      <family val="2"/>
    </font>
    <font>
      <sz val="8"/>
      <color indexed="10"/>
      <name val="Arial"/>
      <family val="2"/>
    </font>
    <font>
      <sz val="10"/>
      <color indexed="10"/>
      <name val="Arial"/>
      <family val="2"/>
    </font>
    <font>
      <b/>
      <sz val="8"/>
      <color indexed="10"/>
      <name val="Arial"/>
      <family val="2"/>
    </font>
    <font>
      <b/>
      <i/>
      <sz val="8"/>
      <color indexed="53"/>
      <name val="Arial"/>
      <family val="2"/>
    </font>
    <font>
      <b/>
      <i/>
      <sz val="10"/>
      <color indexed="10"/>
      <name val="Arial"/>
      <family val="2"/>
    </font>
    <font>
      <b/>
      <u/>
      <sz val="8"/>
      <name val="Arial"/>
      <family val="2"/>
    </font>
    <font>
      <b/>
      <i/>
      <sz val="8"/>
      <name val="Arial"/>
      <family val="2"/>
    </font>
    <font>
      <b/>
      <sz val="10"/>
      <color indexed="46"/>
      <name val="Arial"/>
      <family val="2"/>
    </font>
    <font>
      <b/>
      <sz val="8"/>
      <color indexed="46"/>
      <name val="Arial"/>
      <family val="2"/>
    </font>
    <font>
      <b/>
      <i/>
      <sz val="8"/>
      <color indexed="46"/>
      <name val="Arial"/>
      <family val="2"/>
    </font>
    <font>
      <b/>
      <sz val="11"/>
      <name val="Arial"/>
      <family val="2"/>
    </font>
    <font>
      <sz val="10"/>
      <color indexed="46"/>
      <name val="Arial"/>
      <family val="2"/>
    </font>
    <font>
      <sz val="8"/>
      <color indexed="46"/>
      <name val="Arial"/>
      <family val="2"/>
    </font>
    <font>
      <sz val="9"/>
      <name val="Arial"/>
      <family val="2"/>
    </font>
    <font>
      <b/>
      <sz val="9"/>
      <name val="Arial"/>
      <family val="2"/>
    </font>
    <font>
      <i/>
      <sz val="8"/>
      <color indexed="8"/>
      <name val="Arial"/>
      <family val="2"/>
    </font>
    <font>
      <sz val="10"/>
      <name val="Arial"/>
      <family val="2"/>
    </font>
    <font>
      <sz val="8"/>
      <color indexed="10"/>
      <name val="Arial"/>
      <family val="2"/>
    </font>
    <font>
      <u/>
      <sz val="8"/>
      <color indexed="10"/>
      <name val="Arial"/>
      <family val="2"/>
    </font>
    <font>
      <b/>
      <sz val="8"/>
      <color rgb="FFFF0000"/>
      <name val="Arial"/>
      <family val="2"/>
    </font>
    <font>
      <sz val="8"/>
      <color rgb="FFFF0000"/>
      <name val="Arial"/>
      <family val="2"/>
    </font>
    <font>
      <b/>
      <sz val="8"/>
      <color rgb="FF0070C0"/>
      <name val="Arial"/>
      <family val="2"/>
    </font>
  </fonts>
  <fills count="9">
    <fill>
      <patternFill patternType="none"/>
    </fill>
    <fill>
      <patternFill patternType="gray125"/>
    </fill>
    <fill>
      <patternFill patternType="solid">
        <fgColor indexed="13"/>
        <bgColor indexed="34"/>
      </patternFill>
    </fill>
    <fill>
      <patternFill patternType="solid">
        <fgColor indexed="42"/>
        <bgColor indexed="27"/>
      </patternFill>
    </fill>
    <fill>
      <patternFill patternType="solid">
        <fgColor indexed="51"/>
        <bgColor indexed="13"/>
      </patternFill>
    </fill>
    <fill>
      <patternFill patternType="solid">
        <fgColor indexed="9"/>
        <bgColor indexed="26"/>
      </patternFill>
    </fill>
    <fill>
      <patternFill patternType="solid">
        <fgColor indexed="22"/>
        <bgColor indexed="31"/>
      </patternFill>
    </fill>
    <fill>
      <patternFill patternType="solid">
        <fgColor theme="0"/>
        <bgColor indexed="13"/>
      </patternFill>
    </fill>
    <fill>
      <patternFill patternType="solid">
        <fgColor rgb="FFFFFF00"/>
        <bgColor indexed="64"/>
      </patternFill>
    </fill>
  </fills>
  <borders count="48">
    <border>
      <left/>
      <right/>
      <top/>
      <bottom/>
      <diagonal/>
    </border>
    <border>
      <left style="thin">
        <color indexed="22"/>
      </left>
      <right style="thin">
        <color indexed="22"/>
      </right>
      <top style="thin">
        <color indexed="22"/>
      </top>
      <bottom style="thin">
        <color indexed="22"/>
      </bottom>
      <diagonal/>
    </border>
    <border>
      <left style="medium">
        <color indexed="8"/>
      </left>
      <right/>
      <top/>
      <bottom/>
      <diagonal/>
    </border>
    <border>
      <left/>
      <right style="medium">
        <color indexed="8"/>
      </right>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top style="thin">
        <color indexed="8"/>
      </top>
      <bottom/>
      <diagonal/>
    </border>
    <border>
      <left/>
      <right style="medium">
        <color indexed="8"/>
      </right>
      <top/>
      <bottom style="thin">
        <color indexed="8"/>
      </bottom>
      <diagonal/>
    </border>
    <border>
      <left style="medium">
        <color indexed="8"/>
      </left>
      <right style="medium">
        <color indexed="8"/>
      </right>
      <top style="medium">
        <color indexed="8"/>
      </top>
      <bottom style="medium">
        <color indexed="8"/>
      </bottom>
      <diagonal/>
    </border>
    <border>
      <left/>
      <right/>
      <top style="hair">
        <color indexed="8"/>
      </top>
      <bottom/>
      <diagonal/>
    </border>
    <border>
      <left/>
      <right/>
      <top/>
      <bottom style="medium">
        <color indexed="8"/>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medium">
        <color indexed="8"/>
      </left>
      <right/>
      <top style="medium">
        <color indexed="8"/>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thin">
        <color indexed="8"/>
      </left>
      <right style="thin">
        <color indexed="8"/>
      </right>
      <top style="thin">
        <color indexed="8"/>
      </top>
      <bottom style="thin">
        <color indexed="8"/>
      </bottom>
      <diagonal/>
    </border>
    <border>
      <left/>
      <right/>
      <top style="medium">
        <color indexed="8"/>
      </top>
      <bottom/>
      <diagonal/>
    </border>
    <border>
      <left style="medium">
        <color indexed="8"/>
      </left>
      <right style="medium">
        <color indexed="8"/>
      </right>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style="medium">
        <color indexed="8"/>
      </left>
      <right/>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thin">
        <color indexed="8"/>
      </left>
      <right/>
      <top/>
      <bottom/>
      <diagonal/>
    </border>
    <border>
      <left/>
      <right style="medium">
        <color indexed="8"/>
      </right>
      <top style="thin">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medium">
        <color indexed="8"/>
      </left>
      <right style="thin">
        <color indexed="8"/>
      </right>
      <top/>
      <bottom/>
      <diagonal/>
    </border>
    <border>
      <left style="thin">
        <color indexed="8"/>
      </left>
      <right style="thin">
        <color indexed="8"/>
      </right>
      <top/>
      <bottom/>
      <diagonal/>
    </border>
    <border>
      <left/>
      <right style="hair">
        <color indexed="8"/>
      </right>
      <top/>
      <bottom/>
      <diagonal/>
    </border>
    <border>
      <left style="thin">
        <color indexed="8"/>
      </left>
      <right style="medium">
        <color indexed="8"/>
      </right>
      <top/>
      <bottom style="medium">
        <color indexed="8"/>
      </bottom>
      <diagonal/>
    </border>
    <border>
      <left/>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top style="thin">
        <color indexed="8"/>
      </top>
      <bottom/>
      <diagonal/>
    </border>
    <border>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hair">
        <color indexed="8"/>
      </left>
      <right style="medium">
        <color indexed="8"/>
      </right>
      <top style="medium">
        <color indexed="8"/>
      </top>
      <bottom/>
      <diagonal/>
    </border>
    <border>
      <left style="hair">
        <color indexed="8"/>
      </left>
      <right style="medium">
        <color indexed="8"/>
      </right>
      <top/>
      <bottom style="medium">
        <color indexed="8"/>
      </bottom>
      <diagonal/>
    </border>
    <border>
      <left/>
      <right/>
      <top style="thin">
        <color indexed="64"/>
      </top>
      <bottom/>
      <diagonal/>
    </border>
    <border>
      <left/>
      <right style="thin">
        <color indexed="8"/>
      </right>
      <top style="thin">
        <color indexed="64"/>
      </top>
      <bottom/>
      <diagonal/>
    </border>
  </borders>
  <cellStyleXfs count="5">
    <xf numFmtId="0" fontId="0" fillId="0" borderId="0"/>
    <xf numFmtId="166" fontId="30" fillId="0" borderId="0" applyFill="0" applyBorder="0" applyAlignment="0" applyProtection="0"/>
    <xf numFmtId="0" fontId="7" fillId="0" borderId="0" applyNumberFormat="0" applyFill="0" applyBorder="0" applyAlignment="0" applyProtection="0"/>
    <xf numFmtId="169" fontId="30" fillId="0" borderId="0" applyFill="0" applyBorder="0" applyAlignment="0" applyProtection="0"/>
    <xf numFmtId="9" fontId="30" fillId="0" borderId="0" applyFill="0" applyBorder="0" applyAlignment="0" applyProtection="0"/>
  </cellStyleXfs>
  <cellXfs count="551">
    <xf numFmtId="0" fontId="0" fillId="0" borderId="0" xfId="0"/>
    <xf numFmtId="0" fontId="0" fillId="0" borderId="0" xfId="0" applyFill="1"/>
    <xf numFmtId="0" fontId="1" fillId="0" borderId="0" xfId="0" applyFont="1"/>
    <xf numFmtId="0" fontId="1" fillId="0" borderId="0" xfId="0" applyFont="1" applyFill="1"/>
    <xf numFmtId="49" fontId="3" fillId="0" borderId="2" xfId="0" applyNumberFormat="1" applyFont="1" applyBorder="1" applyAlignment="1"/>
    <xf numFmtId="0" fontId="0" fillId="0" borderId="0" xfId="0" applyBorder="1" applyAlignment="1"/>
    <xf numFmtId="0" fontId="0" fillId="0" borderId="0" xfId="0" applyBorder="1"/>
    <xf numFmtId="0" fontId="0" fillId="0" borderId="3" xfId="0" applyBorder="1"/>
    <xf numFmtId="0" fontId="3" fillId="0" borderId="0" xfId="0" applyFont="1" applyBorder="1"/>
    <xf numFmtId="0" fontId="3" fillId="0" borderId="0" xfId="0" applyFont="1" applyFill="1" applyBorder="1"/>
    <xf numFmtId="0" fontId="2" fillId="0" borderId="0" xfId="0" applyFont="1" applyBorder="1" applyAlignment="1">
      <alignment horizontal="center"/>
    </xf>
    <xf numFmtId="0" fontId="0" fillId="0" borderId="0" xfId="0" applyBorder="1" applyAlignment="1">
      <alignment horizontal="center"/>
    </xf>
    <xf numFmtId="0" fontId="1" fillId="0" borderId="0" xfId="0" applyFont="1" applyBorder="1" applyAlignment="1">
      <alignment horizontal="center"/>
    </xf>
    <xf numFmtId="0" fontId="1" fillId="0" borderId="0" xfId="0" applyFont="1" applyBorder="1" applyAlignment="1">
      <alignment horizontal="left"/>
    </xf>
    <xf numFmtId="0" fontId="0" fillId="0" borderId="0" xfId="0" applyFill="1" applyBorder="1" applyAlignment="1">
      <alignment horizontal="center"/>
    </xf>
    <xf numFmtId="0" fontId="2" fillId="0" borderId="0" xfId="0" applyFont="1" applyBorder="1"/>
    <xf numFmtId="0" fontId="6" fillId="0" borderId="0" xfId="2" applyNumberFormat="1" applyFont="1" applyFill="1" applyBorder="1" applyAlignment="1" applyProtection="1">
      <alignment horizontal="center"/>
    </xf>
    <xf numFmtId="0" fontId="3" fillId="0" borderId="0" xfId="0" applyFont="1" applyBorder="1" applyAlignment="1">
      <alignment horizontal="left"/>
    </xf>
    <xf numFmtId="0" fontId="6" fillId="0" borderId="0" xfId="2" applyNumberFormat="1" applyFont="1" applyFill="1" applyBorder="1" applyAlignment="1" applyProtection="1">
      <alignment horizontal="left"/>
    </xf>
    <xf numFmtId="0" fontId="1" fillId="0" borderId="0" xfId="0" applyFont="1" applyAlignment="1">
      <alignment horizontal="left"/>
    </xf>
    <xf numFmtId="0" fontId="3" fillId="0" borderId="0" xfId="0" applyFont="1" applyFill="1" applyBorder="1" applyAlignment="1">
      <alignment horizontal="left"/>
    </xf>
    <xf numFmtId="0" fontId="1" fillId="0" borderId="0" xfId="0" applyFont="1" applyBorder="1"/>
    <xf numFmtId="0" fontId="1" fillId="0" borderId="0" xfId="0" applyFont="1" applyFill="1" applyBorder="1"/>
    <xf numFmtId="2" fontId="2" fillId="0" borderId="0" xfId="0" applyNumberFormat="1" applyFont="1" applyBorder="1"/>
    <xf numFmtId="0" fontId="9" fillId="0" borderId="0" xfId="2" applyNumberFormat="1" applyFont="1" applyFill="1" applyBorder="1" applyAlignment="1" applyProtection="1">
      <alignment horizontal="center"/>
    </xf>
    <xf numFmtId="0" fontId="9" fillId="0" borderId="0" xfId="2" applyNumberFormat="1" applyFont="1" applyFill="1" applyBorder="1" applyAlignment="1" applyProtection="1">
      <alignment horizontal="left"/>
    </xf>
    <xf numFmtId="0" fontId="9" fillId="0" borderId="0" xfId="2" applyNumberFormat="1" applyFont="1" applyFill="1" applyBorder="1" applyAlignment="1" applyProtection="1"/>
    <xf numFmtId="0" fontId="0" fillId="2" borderId="0" xfId="0" applyFont="1" applyFill="1" applyBorder="1" applyAlignment="1">
      <alignment horizontal="center"/>
    </xf>
    <xf numFmtId="0" fontId="1" fillId="0" borderId="0" xfId="0" applyFont="1" applyBorder="1" applyAlignment="1"/>
    <xf numFmtId="0" fontId="2" fillId="0" borderId="0" xfId="0" applyFont="1" applyFill="1" applyBorder="1"/>
    <xf numFmtId="0" fontId="0" fillId="0" borderId="0" xfId="0" applyFont="1" applyBorder="1" applyAlignment="1">
      <alignment horizontal="center"/>
    </xf>
    <xf numFmtId="0" fontId="2" fillId="3" borderId="0" xfId="0" applyFont="1" applyFill="1" applyBorder="1"/>
    <xf numFmtId="0" fontId="5" fillId="0" borderId="0" xfId="0" applyFont="1" applyBorder="1"/>
    <xf numFmtId="49" fontId="1" fillId="0" borderId="0" xfId="0" applyNumberFormat="1" applyFont="1" applyBorder="1" applyAlignment="1">
      <alignment readingOrder="1"/>
    </xf>
    <xf numFmtId="0" fontId="1" fillId="4" borderId="0" xfId="0" applyFont="1" applyFill="1" applyBorder="1"/>
    <xf numFmtId="0" fontId="0" fillId="0" borderId="0" xfId="0" applyAlignment="1"/>
    <xf numFmtId="0" fontId="1" fillId="0" borderId="0" xfId="0" applyFont="1" applyAlignment="1"/>
    <xf numFmtId="49" fontId="3" fillId="0" borderId="0" xfId="0" applyNumberFormat="1" applyFont="1" applyBorder="1" applyAlignment="1">
      <alignment readingOrder="1"/>
    </xf>
    <xf numFmtId="0" fontId="2" fillId="2" borderId="0" xfId="0" applyFont="1" applyFill="1" applyBorder="1" applyAlignment="1">
      <alignment horizontal="right"/>
    </xf>
    <xf numFmtId="49" fontId="2" fillId="0" borderId="0" xfId="0" applyNumberFormat="1" applyFont="1" applyBorder="1" applyAlignment="1">
      <alignment shrinkToFit="1"/>
    </xf>
    <xf numFmtId="49" fontId="3" fillId="0" borderId="0" xfId="0" applyNumberFormat="1" applyFont="1" applyFill="1" applyBorder="1" applyAlignment="1">
      <alignment shrinkToFit="1"/>
    </xf>
    <xf numFmtId="0" fontId="2" fillId="0" borderId="0" xfId="0" applyFont="1" applyBorder="1" applyAlignment="1">
      <alignment horizontal="right"/>
    </xf>
    <xf numFmtId="0" fontId="3" fillId="0" borderId="4" xfId="0" applyFont="1" applyBorder="1"/>
    <xf numFmtId="0" fontId="1" fillId="0" borderId="4" xfId="0" applyFont="1" applyBorder="1"/>
    <xf numFmtId="0" fontId="0" fillId="0" borderId="4" xfId="0" applyFont="1" applyBorder="1"/>
    <xf numFmtId="0" fontId="3" fillId="0" borderId="5" xfId="0" applyFont="1" applyBorder="1"/>
    <xf numFmtId="0" fontId="3" fillId="0" borderId="0" xfId="0" applyFont="1" applyBorder="1" applyAlignment="1"/>
    <xf numFmtId="0" fontId="11" fillId="0" borderId="0" xfId="0" applyFont="1" applyBorder="1"/>
    <xf numFmtId="0" fontId="1" fillId="2" borderId="0" xfId="0" applyFont="1" applyFill="1" applyBorder="1"/>
    <xf numFmtId="0" fontId="1" fillId="2" borderId="0" xfId="0" applyFont="1" applyFill="1" applyBorder="1" applyAlignment="1">
      <alignment horizontal="left"/>
    </xf>
    <xf numFmtId="0" fontId="1" fillId="0" borderId="0" xfId="0" applyFont="1" applyBorder="1" applyAlignment="1">
      <alignment horizontal="right"/>
    </xf>
    <xf numFmtId="14" fontId="1" fillId="2" borderId="0" xfId="0" applyNumberFormat="1" applyFont="1" applyFill="1" applyBorder="1" applyAlignment="1">
      <alignment horizontal="center"/>
    </xf>
    <xf numFmtId="0" fontId="1" fillId="3" borderId="0" xfId="0" applyFont="1" applyFill="1" applyBorder="1" applyAlignment="1">
      <alignment horizontal="left"/>
    </xf>
    <xf numFmtId="0" fontId="1" fillId="0" borderId="0" xfId="0" applyFont="1" applyAlignment="1">
      <alignment horizontal="center"/>
    </xf>
    <xf numFmtId="0" fontId="0" fillId="0" borderId="0" xfId="0" applyAlignment="1">
      <alignment horizontal="center"/>
    </xf>
    <xf numFmtId="0" fontId="1" fillId="0" borderId="0" xfId="0" applyFont="1" applyAlignment="1">
      <alignment horizontal="right"/>
    </xf>
    <xf numFmtId="0" fontId="1" fillId="3" borderId="0" xfId="0" applyFont="1" applyFill="1" applyBorder="1"/>
    <xf numFmtId="0" fontId="0" fillId="3" borderId="0" xfId="0" applyFont="1" applyFill="1" applyBorder="1"/>
    <xf numFmtId="0" fontId="1" fillId="3" borderId="0" xfId="0" applyFont="1" applyFill="1" applyAlignment="1">
      <alignment horizontal="right"/>
    </xf>
    <xf numFmtId="10" fontId="1" fillId="3" borderId="0" xfId="4" applyNumberFormat="1" applyFont="1" applyFill="1" applyBorder="1" applyAlignment="1" applyProtection="1"/>
    <xf numFmtId="0" fontId="1" fillId="3" borderId="0" xfId="0" applyFont="1" applyFill="1"/>
    <xf numFmtId="0" fontId="0" fillId="3" borderId="0" xfId="0" applyFont="1" applyFill="1"/>
    <xf numFmtId="0" fontId="1" fillId="3" borderId="0" xfId="0" applyFont="1" applyFill="1" applyBorder="1" applyAlignment="1"/>
    <xf numFmtId="0" fontId="14" fillId="3" borderId="0" xfId="0" applyFont="1" applyFill="1" applyAlignment="1">
      <alignment horizontal="right"/>
    </xf>
    <xf numFmtId="10" fontId="14" fillId="3" borderId="0" xfId="4" applyNumberFormat="1" applyFont="1" applyFill="1" applyBorder="1" applyAlignment="1" applyProtection="1"/>
    <xf numFmtId="4" fontId="1" fillId="0" borderId="0" xfId="0" applyNumberFormat="1" applyFont="1" applyFill="1" applyBorder="1"/>
    <xf numFmtId="0" fontId="0" fillId="0" borderId="0" xfId="0" applyFont="1" applyFill="1" applyBorder="1"/>
    <xf numFmtId="0" fontId="14" fillId="0" borderId="0" xfId="0" applyFont="1" applyFill="1" applyAlignment="1">
      <alignment horizontal="right"/>
    </xf>
    <xf numFmtId="10" fontId="14" fillId="0" borderId="0" xfId="4" applyNumberFormat="1" applyFont="1" applyFill="1" applyBorder="1" applyAlignment="1" applyProtection="1"/>
    <xf numFmtId="0" fontId="0" fillId="0" borderId="0" xfId="0" applyFont="1" applyFill="1"/>
    <xf numFmtId="0" fontId="3" fillId="0" borderId="6" xfId="0" applyFont="1" applyBorder="1" applyAlignment="1">
      <alignment horizontal="left"/>
    </xf>
    <xf numFmtId="0" fontId="0" fillId="0" borderId="6" xfId="0" applyBorder="1" applyAlignment="1">
      <alignment horizontal="center"/>
    </xf>
    <xf numFmtId="0" fontId="3" fillId="0" borderId="6" xfId="0" applyFont="1" applyBorder="1" applyAlignment="1">
      <alignment horizontal="right"/>
    </xf>
    <xf numFmtId="0" fontId="0" fillId="0" borderId="0" xfId="0" applyFont="1" applyFill="1" applyBorder="1" applyAlignment="1">
      <alignment wrapText="1"/>
    </xf>
    <xf numFmtId="0" fontId="1" fillId="0" borderId="7" xfId="0" applyFont="1" applyBorder="1" applyAlignment="1">
      <alignment horizontal="right"/>
    </xf>
    <xf numFmtId="167" fontId="1" fillId="2" borderId="0" xfId="1" applyNumberFormat="1" applyFont="1" applyFill="1" applyBorder="1" applyAlignment="1" applyProtection="1"/>
    <xf numFmtId="10" fontId="1" fillId="0" borderId="0" xfId="1" applyNumberFormat="1" applyFont="1" applyFill="1" applyBorder="1" applyAlignment="1" applyProtection="1"/>
    <xf numFmtId="0" fontId="1" fillId="0" borderId="6" xfId="0" applyFont="1" applyBorder="1" applyAlignment="1">
      <alignment horizontal="center"/>
    </xf>
    <xf numFmtId="0" fontId="2" fillId="0" borderId="6" xfId="0" applyFont="1" applyBorder="1" applyAlignment="1">
      <alignment horizontal="center"/>
    </xf>
    <xf numFmtId="0" fontId="3" fillId="0" borderId="0" xfId="0" applyFont="1" applyAlignment="1">
      <alignment horizontal="right"/>
    </xf>
    <xf numFmtId="0" fontId="3" fillId="0" borderId="8" xfId="0" applyFont="1" applyBorder="1" applyAlignment="1">
      <alignment horizontal="right"/>
    </xf>
    <xf numFmtId="0" fontId="15" fillId="0" borderId="0" xfId="0" applyFont="1" applyBorder="1" applyAlignment="1">
      <alignment horizontal="center"/>
    </xf>
    <xf numFmtId="0" fontId="16" fillId="0" borderId="7" xfId="0" applyFont="1" applyBorder="1" applyAlignment="1">
      <alignment horizontal="right"/>
    </xf>
    <xf numFmtId="0" fontId="1" fillId="4" borderId="0" xfId="0" applyFont="1" applyFill="1" applyAlignment="1">
      <alignment horizontal="center"/>
    </xf>
    <xf numFmtId="10" fontId="1" fillId="0" borderId="0" xfId="4" applyNumberFormat="1" applyFont="1" applyFill="1" applyBorder="1" applyAlignment="1" applyProtection="1"/>
    <xf numFmtId="0" fontId="9" fillId="4" borderId="0" xfId="2" applyNumberFormat="1" applyFont="1" applyFill="1" applyBorder="1" applyAlignment="1" applyProtection="1">
      <alignment horizontal="center"/>
    </xf>
    <xf numFmtId="10" fontId="1" fillId="2" borderId="0" xfId="4" applyNumberFormat="1" applyFont="1" applyFill="1" applyBorder="1" applyAlignment="1" applyProtection="1"/>
    <xf numFmtId="2" fontId="1" fillId="2" borderId="0" xfId="4" applyNumberFormat="1" applyFont="1" applyFill="1" applyBorder="1" applyAlignment="1" applyProtection="1"/>
    <xf numFmtId="0" fontId="0" fillId="3" borderId="0" xfId="0" applyFont="1" applyFill="1" applyAlignment="1">
      <alignment horizontal="center"/>
    </xf>
    <xf numFmtId="4" fontId="1" fillId="5" borderId="0" xfId="4" applyNumberFormat="1" applyFont="1" applyFill="1" applyBorder="1" applyAlignment="1" applyProtection="1"/>
    <xf numFmtId="0" fontId="0" fillId="3" borderId="0" xfId="0" applyFont="1" applyFill="1" applyBorder="1" applyAlignment="1"/>
    <xf numFmtId="4" fontId="1" fillId="0" borderId="0" xfId="4" applyNumberFormat="1" applyFont="1" applyFill="1" applyBorder="1" applyAlignment="1" applyProtection="1"/>
    <xf numFmtId="4" fontId="3" fillId="0" borderId="0" xfId="4" applyNumberFormat="1" applyFont="1" applyFill="1" applyBorder="1" applyAlignment="1" applyProtection="1"/>
    <xf numFmtId="0" fontId="1" fillId="0" borderId="9" xfId="0" applyFont="1" applyBorder="1" applyAlignment="1">
      <alignment horizontal="center"/>
    </xf>
    <xf numFmtId="0" fontId="2" fillId="0" borderId="9" xfId="0" applyFont="1" applyBorder="1" applyAlignment="1">
      <alignment horizontal="center"/>
    </xf>
    <xf numFmtId="4" fontId="1" fillId="2" borderId="0" xfId="4" applyNumberFormat="1" applyFont="1" applyFill="1" applyBorder="1" applyAlignment="1" applyProtection="1"/>
    <xf numFmtId="0" fontId="16" fillId="0" borderId="0" xfId="0" applyFont="1" applyBorder="1" applyAlignment="1">
      <alignment horizontal="right"/>
    </xf>
    <xf numFmtId="0" fontId="15" fillId="0" borderId="0" xfId="0" applyFont="1" applyBorder="1" applyAlignment="1">
      <alignment horizontal="right"/>
    </xf>
    <xf numFmtId="0" fontId="1" fillId="2" borderId="0" xfId="4" applyNumberFormat="1" applyFont="1" applyFill="1" applyBorder="1" applyAlignment="1" applyProtection="1"/>
    <xf numFmtId="0" fontId="1" fillId="3" borderId="0" xfId="0" applyFont="1" applyFill="1" applyAlignment="1">
      <alignment horizontal="center"/>
    </xf>
    <xf numFmtId="0" fontId="3" fillId="0" borderId="6" xfId="0" applyFont="1" applyBorder="1" applyAlignment="1">
      <alignment horizontal="center"/>
    </xf>
    <xf numFmtId="0" fontId="3" fillId="0" borderId="10" xfId="0" applyFont="1" applyBorder="1" applyAlignment="1">
      <alignment horizontal="right"/>
    </xf>
    <xf numFmtId="4" fontId="3" fillId="0" borderId="11" xfId="4" applyNumberFormat="1" applyFont="1" applyFill="1" applyBorder="1" applyAlignment="1" applyProtection="1"/>
    <xf numFmtId="4" fontId="3" fillId="0" borderId="12" xfId="4" applyNumberFormat="1" applyFont="1" applyFill="1" applyBorder="1" applyAlignment="1" applyProtection="1"/>
    <xf numFmtId="0" fontId="16" fillId="0" borderId="0" xfId="0" applyFont="1" applyAlignment="1">
      <alignment horizontal="right"/>
    </xf>
    <xf numFmtId="0" fontId="3" fillId="0" borderId="0" xfId="0" applyFont="1" applyAlignment="1">
      <alignment horizontal="center"/>
    </xf>
    <xf numFmtId="0" fontId="2" fillId="0" borderId="0" xfId="0" applyFont="1" applyAlignment="1">
      <alignment horizontal="center"/>
    </xf>
    <xf numFmtId="0" fontId="1" fillId="0" borderId="0" xfId="0" applyFont="1" applyFill="1" applyAlignment="1">
      <alignment horizontal="right"/>
    </xf>
    <xf numFmtId="0" fontId="3" fillId="0" borderId="9" xfId="0" applyFont="1" applyBorder="1" applyAlignment="1">
      <alignment horizontal="center"/>
    </xf>
    <xf numFmtId="0" fontId="11" fillId="0" borderId="0" xfId="0" applyFont="1" applyFill="1" applyBorder="1" applyAlignment="1"/>
    <xf numFmtId="0" fontId="1" fillId="4" borderId="0" xfId="0" applyFont="1" applyFill="1" applyAlignment="1">
      <alignment horizontal="center" vertical="center" wrapText="1"/>
    </xf>
    <xf numFmtId="0" fontId="0" fillId="0" borderId="0" xfId="0" applyFont="1" applyFill="1" applyBorder="1" applyAlignment="1">
      <alignment horizontal="center"/>
    </xf>
    <xf numFmtId="0" fontId="1" fillId="0" borderId="7" xfId="0" applyFont="1" applyFill="1" applyBorder="1" applyAlignment="1">
      <alignment horizontal="right"/>
    </xf>
    <xf numFmtId="0" fontId="18" fillId="0" borderId="0" xfId="0" applyFont="1" applyAlignment="1"/>
    <xf numFmtId="0" fontId="13" fillId="3" borderId="0" xfId="0" applyFont="1" applyFill="1" applyBorder="1" applyAlignment="1"/>
    <xf numFmtId="10" fontId="1" fillId="3" borderId="0" xfId="0" applyNumberFormat="1" applyFont="1" applyFill="1" applyBorder="1" applyAlignment="1">
      <alignment horizontal="center"/>
    </xf>
    <xf numFmtId="0" fontId="1" fillId="4" borderId="0" xfId="0" applyFont="1" applyFill="1" applyBorder="1" applyAlignment="1">
      <alignment horizontal="center"/>
    </xf>
    <xf numFmtId="0" fontId="0" fillId="3" borderId="0" xfId="0" applyFont="1" applyFill="1" applyAlignment="1"/>
    <xf numFmtId="10" fontId="1" fillId="3" borderId="0" xfId="0" applyNumberFormat="1" applyFont="1" applyFill="1" applyAlignment="1">
      <alignment horizontal="center"/>
    </xf>
    <xf numFmtId="167" fontId="1" fillId="0" borderId="0" xfId="1" applyNumberFormat="1" applyFont="1" applyFill="1" applyBorder="1" applyAlignment="1" applyProtection="1"/>
    <xf numFmtId="0" fontId="0" fillId="0" borderId="0" xfId="0" applyFont="1" applyFill="1" applyAlignment="1"/>
    <xf numFmtId="10" fontId="1" fillId="0" borderId="0" xfId="0" applyNumberFormat="1" applyFont="1" applyFill="1" applyAlignment="1">
      <alignment horizontal="center"/>
    </xf>
    <xf numFmtId="0" fontId="1" fillId="0" borderId="0" xfId="0" applyFont="1" applyFill="1" applyAlignment="1">
      <alignment horizontal="center"/>
    </xf>
    <xf numFmtId="0" fontId="10" fillId="0" borderId="0" xfId="0" applyFont="1" applyFill="1" applyBorder="1" applyAlignment="1"/>
    <xf numFmtId="0" fontId="0" fillId="0" borderId="0" xfId="0" applyFill="1" applyAlignment="1"/>
    <xf numFmtId="0" fontId="3" fillId="0" borderId="13" xfId="0" applyFont="1" applyBorder="1" applyAlignment="1"/>
    <xf numFmtId="0" fontId="11" fillId="0" borderId="13" xfId="0" applyFont="1" applyFill="1" applyBorder="1" applyAlignment="1"/>
    <xf numFmtId="0" fontId="0" fillId="0" borderId="13" xfId="0" applyFont="1" applyFill="1" applyBorder="1" applyAlignment="1"/>
    <xf numFmtId="0" fontId="1" fillId="0" borderId="6" xfId="0" applyFont="1" applyFill="1" applyBorder="1" applyAlignment="1">
      <alignment horizontal="center"/>
    </xf>
    <xf numFmtId="0" fontId="1" fillId="0" borderId="0" xfId="0"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0" fontId="1" fillId="0" borderId="0" xfId="0" applyFont="1" applyFill="1" applyBorder="1" applyAlignment="1"/>
    <xf numFmtId="0" fontId="3" fillId="0" borderId="0" xfId="0" applyFont="1" applyAlignment="1">
      <alignment horizontal="left"/>
    </xf>
    <xf numFmtId="167" fontId="1" fillId="2" borderId="14" xfId="1" applyNumberFormat="1" applyFont="1" applyFill="1" applyBorder="1" applyAlignment="1" applyProtection="1"/>
    <xf numFmtId="168" fontId="1" fillId="0" borderId="14" xfId="4" applyNumberFormat="1" applyFont="1" applyFill="1" applyBorder="1" applyAlignment="1" applyProtection="1">
      <alignment horizontal="center"/>
    </xf>
    <xf numFmtId="4" fontId="1" fillId="0" borderId="0" xfId="0" applyNumberFormat="1" applyFont="1" applyFill="1" applyAlignment="1">
      <alignment horizontal="right"/>
    </xf>
    <xf numFmtId="167" fontId="1" fillId="2" borderId="1" xfId="1" applyNumberFormat="1" applyFont="1" applyFill="1" applyBorder="1" applyAlignment="1" applyProtection="1"/>
    <xf numFmtId="167" fontId="1" fillId="2" borderId="15" xfId="1" applyNumberFormat="1" applyFont="1" applyFill="1" applyBorder="1" applyAlignment="1" applyProtection="1"/>
    <xf numFmtId="167" fontId="3" fillId="0" borderId="0" xfId="1" applyNumberFormat="1" applyFont="1" applyFill="1" applyBorder="1" applyAlignment="1" applyProtection="1"/>
    <xf numFmtId="10" fontId="3" fillId="0" borderId="0" xfId="4" applyNumberFormat="1" applyFont="1" applyFill="1" applyBorder="1" applyAlignment="1" applyProtection="1">
      <alignment horizontal="center"/>
    </xf>
    <xf numFmtId="4" fontId="3" fillId="0" borderId="0" xfId="0" applyNumberFormat="1" applyFont="1" applyFill="1" applyAlignment="1">
      <alignment horizontal="right"/>
    </xf>
    <xf numFmtId="4" fontId="3" fillId="0" borderId="0" xfId="0" applyNumberFormat="1" applyFont="1" applyFill="1" applyAlignment="1"/>
    <xf numFmtId="167" fontId="3" fillId="2" borderId="0" xfId="1" applyNumberFormat="1" applyFont="1" applyFill="1" applyBorder="1" applyAlignment="1" applyProtection="1"/>
    <xf numFmtId="168" fontId="1" fillId="0" borderId="0" xfId="4" applyNumberFormat="1" applyFont="1" applyFill="1" applyBorder="1" applyAlignment="1" applyProtection="1">
      <alignment horizontal="center"/>
    </xf>
    <xf numFmtId="0" fontId="17" fillId="0" borderId="0" xfId="0" applyFont="1" applyFill="1" applyBorder="1" applyAlignment="1"/>
    <xf numFmtId="10" fontId="0" fillId="0" borderId="1" xfId="0" applyNumberFormat="1" applyFont="1" applyFill="1" applyBorder="1" applyAlignment="1">
      <alignment horizontal="right"/>
    </xf>
    <xf numFmtId="10" fontId="1" fillId="0" borderId="0" xfId="4" applyNumberFormat="1" applyFont="1" applyFill="1" applyBorder="1" applyAlignment="1" applyProtection="1">
      <alignment horizontal="center"/>
    </xf>
    <xf numFmtId="167" fontId="3" fillId="5" borderId="0" xfId="1" applyNumberFormat="1" applyFont="1" applyFill="1" applyBorder="1" applyAlignment="1" applyProtection="1"/>
    <xf numFmtId="168" fontId="3" fillId="0" borderId="0" xfId="4" applyNumberFormat="1" applyFont="1" applyFill="1" applyBorder="1" applyAlignment="1" applyProtection="1">
      <alignment horizontal="center"/>
    </xf>
    <xf numFmtId="0" fontId="3" fillId="0" borderId="0" xfId="0" applyFont="1" applyFill="1" applyAlignment="1">
      <alignment horizontal="left"/>
    </xf>
    <xf numFmtId="0" fontId="0" fillId="0" borderId="0" xfId="0" applyFill="1" applyAlignment="1">
      <alignment horizontal="center"/>
    </xf>
    <xf numFmtId="0" fontId="3" fillId="0" borderId="0" xfId="0" applyFont="1" applyFill="1" applyAlignment="1">
      <alignment horizontal="right"/>
    </xf>
    <xf numFmtId="0" fontId="1" fillId="0" borderId="0" xfId="0" applyFont="1" applyFill="1" applyAlignment="1"/>
    <xf numFmtId="10" fontId="1" fillId="0" borderId="0" xfId="0" applyNumberFormat="1" applyFont="1"/>
    <xf numFmtId="10" fontId="1" fillId="2" borderId="1" xfId="4" applyNumberFormat="1" applyFont="1" applyFill="1" applyBorder="1" applyAlignment="1" applyProtection="1">
      <alignment horizontal="center"/>
    </xf>
    <xf numFmtId="0" fontId="1" fillId="2" borderId="1" xfId="0" applyFont="1" applyFill="1" applyBorder="1" applyAlignment="1">
      <alignment horizontal="center"/>
    </xf>
    <xf numFmtId="0" fontId="1" fillId="2" borderId="1" xfId="0" applyFont="1" applyFill="1" applyBorder="1" applyAlignment="1"/>
    <xf numFmtId="10" fontId="1" fillId="2" borderId="1" xfId="0" applyNumberFormat="1" applyFont="1" applyFill="1" applyBorder="1" applyAlignment="1">
      <alignment horizontal="center"/>
    </xf>
    <xf numFmtId="0" fontId="10" fillId="2" borderId="1" xfId="0" applyFont="1" applyFill="1" applyBorder="1" applyAlignment="1"/>
    <xf numFmtId="10" fontId="3" fillId="0" borderId="0" xfId="0" applyNumberFormat="1" applyFont="1" applyFill="1" applyAlignment="1">
      <alignment horizontal="center"/>
    </xf>
    <xf numFmtId="4" fontId="3" fillId="0" borderId="0" xfId="0" applyNumberFormat="1" applyFont="1" applyFill="1"/>
    <xf numFmtId="0" fontId="3" fillId="0" borderId="0" xfId="0" applyFont="1" applyBorder="1" applyAlignment="1">
      <alignment vertical="center"/>
    </xf>
    <xf numFmtId="167" fontId="3" fillId="0" borderId="0" xfId="0" applyNumberFormat="1" applyFont="1" applyBorder="1" applyAlignment="1">
      <alignment vertical="center"/>
    </xf>
    <xf numFmtId="0" fontId="10" fillId="0" borderId="0" xfId="0" applyFont="1" applyFill="1" applyAlignment="1">
      <alignment horizontal="left"/>
    </xf>
    <xf numFmtId="168" fontId="20" fillId="0" borderId="0" xfId="0" applyNumberFormat="1" applyFont="1" applyFill="1" applyBorder="1" applyAlignment="1">
      <alignment horizontal="center"/>
    </xf>
    <xf numFmtId="0" fontId="0" fillId="0" borderId="6" xfId="0" applyBorder="1" applyAlignment="1">
      <alignment horizontal="left"/>
    </xf>
    <xf numFmtId="0" fontId="1" fillId="0" borderId="6" xfId="0" applyFont="1" applyBorder="1" applyAlignment="1">
      <alignment horizontal="left"/>
    </xf>
    <xf numFmtId="10" fontId="1" fillId="3" borderId="0" xfId="0" applyNumberFormat="1" applyFont="1" applyFill="1" applyBorder="1" applyAlignment="1">
      <alignment horizontal="left"/>
    </xf>
    <xf numFmtId="0" fontId="0" fillId="3" borderId="0" xfId="0" applyFill="1" applyAlignment="1"/>
    <xf numFmtId="167" fontId="1" fillId="5" borderId="0" xfId="1" applyNumberFormat="1" applyFont="1" applyFill="1" applyBorder="1" applyAlignment="1" applyProtection="1"/>
    <xf numFmtId="10" fontId="1" fillId="5" borderId="0" xfId="0" applyNumberFormat="1" applyFont="1" applyFill="1" applyBorder="1" applyAlignment="1">
      <alignment horizontal="left"/>
    </xf>
    <xf numFmtId="0" fontId="0" fillId="5" borderId="0" xfId="0" applyFill="1" applyAlignment="1"/>
    <xf numFmtId="0" fontId="1" fillId="0" borderId="6" xfId="0" applyFont="1" applyBorder="1" applyAlignment="1">
      <alignment horizontal="right"/>
    </xf>
    <xf numFmtId="14" fontId="1" fillId="0" borderId="0" xfId="0" applyNumberFormat="1" applyFont="1" applyFill="1" applyBorder="1" applyAlignment="1">
      <alignment horizontal="right"/>
    </xf>
    <xf numFmtId="0" fontId="1" fillId="2" borderId="0" xfId="0" applyFont="1" applyFill="1" applyAlignment="1">
      <alignment horizontal="right"/>
    </xf>
    <xf numFmtId="0" fontId="0" fillId="3" borderId="0" xfId="0" applyFont="1" applyFill="1" applyBorder="1" applyAlignment="1">
      <alignment horizontal="left"/>
    </xf>
    <xf numFmtId="0" fontId="1" fillId="3" borderId="0" xfId="0" applyFont="1" applyFill="1" applyAlignment="1">
      <alignment horizontal="left"/>
    </xf>
    <xf numFmtId="10" fontId="14" fillId="3" borderId="0" xfId="4" applyNumberFormat="1" applyFont="1" applyFill="1" applyBorder="1" applyAlignment="1" applyProtection="1">
      <alignment horizontal="left"/>
    </xf>
    <xf numFmtId="0" fontId="10" fillId="3" borderId="0" xfId="0" applyFont="1" applyFill="1" applyAlignment="1">
      <alignment horizontal="left"/>
    </xf>
    <xf numFmtId="0" fontId="0" fillId="0" borderId="0" xfId="0" applyAlignment="1">
      <alignment horizontal="left"/>
    </xf>
    <xf numFmtId="0" fontId="2" fillId="3" borderId="0" xfId="0" applyFont="1" applyFill="1" applyBorder="1" applyAlignment="1">
      <alignment horizontal="left"/>
    </xf>
    <xf numFmtId="0" fontId="3" fillId="3" borderId="0" xfId="0" applyFont="1" applyFill="1" applyAlignment="1">
      <alignment horizontal="left"/>
    </xf>
    <xf numFmtId="10" fontId="16" fillId="3" borderId="0" xfId="4" applyNumberFormat="1" applyFont="1" applyFill="1" applyBorder="1" applyAlignment="1" applyProtection="1">
      <alignment horizontal="left"/>
    </xf>
    <xf numFmtId="0" fontId="20" fillId="3" borderId="0" xfId="0" applyFont="1" applyFill="1" applyAlignment="1">
      <alignment horizontal="left"/>
    </xf>
    <xf numFmtId="0" fontId="2" fillId="3" borderId="0" xfId="0" applyFont="1" applyFill="1" applyAlignment="1">
      <alignment horizontal="left"/>
    </xf>
    <xf numFmtId="0" fontId="1" fillId="3" borderId="0" xfId="2" applyNumberFormat="1" applyFont="1" applyFill="1" applyBorder="1" applyAlignment="1" applyProtection="1"/>
    <xf numFmtId="0" fontId="10" fillId="3" borderId="0" xfId="0" applyFont="1" applyFill="1"/>
    <xf numFmtId="10" fontId="1" fillId="2" borderId="0" xfId="1" applyNumberFormat="1" applyFont="1" applyFill="1" applyBorder="1" applyAlignment="1" applyProtection="1"/>
    <xf numFmtId="0" fontId="0" fillId="3" borderId="0" xfId="0" applyFill="1"/>
    <xf numFmtId="49" fontId="1" fillId="3" borderId="0" xfId="2" applyNumberFormat="1" applyFont="1" applyFill="1" applyBorder="1" applyAlignment="1" applyProtection="1"/>
    <xf numFmtId="49" fontId="0" fillId="3" borderId="0" xfId="0" applyNumberFormat="1" applyFont="1" applyFill="1" applyBorder="1"/>
    <xf numFmtId="49" fontId="0" fillId="3" borderId="0" xfId="0" applyNumberFormat="1" applyFill="1" applyBorder="1"/>
    <xf numFmtId="49" fontId="1" fillId="3" borderId="0" xfId="0" applyNumberFormat="1" applyFont="1" applyFill="1" applyAlignment="1">
      <alignment horizontal="right"/>
    </xf>
    <xf numFmtId="49" fontId="14" fillId="3" borderId="0" xfId="4" applyNumberFormat="1" applyFont="1" applyFill="1" applyBorder="1" applyAlignment="1" applyProtection="1"/>
    <xf numFmtId="49" fontId="10" fillId="3" borderId="0" xfId="0" applyNumberFormat="1" applyFont="1" applyFill="1"/>
    <xf numFmtId="49" fontId="2" fillId="3" borderId="0" xfId="0" applyNumberFormat="1" applyFont="1" applyFill="1" applyBorder="1"/>
    <xf numFmtId="0" fontId="21" fillId="0" borderId="0" xfId="0" applyFont="1" applyAlignment="1">
      <alignment horizontal="center"/>
    </xf>
    <xf numFmtId="49" fontId="21" fillId="3" borderId="0" xfId="0" applyNumberFormat="1" applyFont="1" applyFill="1" applyBorder="1"/>
    <xf numFmtId="49" fontId="22" fillId="3" borderId="0" xfId="0" applyNumberFormat="1" applyFont="1" applyFill="1" applyAlignment="1">
      <alignment horizontal="right"/>
    </xf>
    <xf numFmtId="49" fontId="22" fillId="3" borderId="0" xfId="4" applyNumberFormat="1" applyFont="1" applyFill="1" applyBorder="1" applyAlignment="1" applyProtection="1"/>
    <xf numFmtId="49" fontId="23" fillId="3" borderId="0" xfId="0" applyNumberFormat="1" applyFont="1" applyFill="1"/>
    <xf numFmtId="0" fontId="1" fillId="4" borderId="0" xfId="0" applyFont="1" applyFill="1" applyAlignment="1">
      <alignment horizontal="center" wrapText="1"/>
    </xf>
    <xf numFmtId="10" fontId="3" fillId="0" borderId="0" xfId="1" applyNumberFormat="1" applyFont="1" applyFill="1" applyBorder="1" applyAlignment="1" applyProtection="1"/>
    <xf numFmtId="49" fontId="3" fillId="0" borderId="0" xfId="2" applyNumberFormat="1" applyFont="1" applyFill="1" applyBorder="1" applyAlignment="1" applyProtection="1"/>
    <xf numFmtId="49" fontId="2" fillId="0" borderId="0" xfId="0" applyNumberFormat="1" applyFont="1" applyFill="1" applyBorder="1"/>
    <xf numFmtId="49" fontId="3" fillId="0" borderId="0" xfId="0" applyNumberFormat="1" applyFont="1" applyFill="1" applyAlignment="1">
      <alignment horizontal="right"/>
    </xf>
    <xf numFmtId="49" fontId="16" fillId="0" borderId="0" xfId="4" applyNumberFormat="1" applyFont="1" applyFill="1" applyBorder="1" applyAlignment="1" applyProtection="1"/>
    <xf numFmtId="49" fontId="20" fillId="0" borderId="0" xfId="0" applyNumberFormat="1" applyFont="1" applyFill="1"/>
    <xf numFmtId="0" fontId="1" fillId="0" borderId="0" xfId="0" applyFont="1" applyFill="1" applyAlignment="1">
      <alignment wrapText="1"/>
    </xf>
    <xf numFmtId="0" fontId="3" fillId="0" borderId="16" xfId="0" applyFont="1" applyFill="1" applyBorder="1" applyAlignment="1">
      <alignment horizontal="left"/>
    </xf>
    <xf numFmtId="0" fontId="3" fillId="0" borderId="4" xfId="0" applyFont="1" applyFill="1" applyBorder="1" applyAlignment="1">
      <alignment horizontal="center"/>
    </xf>
    <xf numFmtId="0" fontId="1" fillId="0" borderId="4" xfId="0" applyFont="1" applyFill="1" applyBorder="1" applyAlignment="1">
      <alignment horizontal="right"/>
    </xf>
    <xf numFmtId="10" fontId="1" fillId="0" borderId="4" xfId="1" applyNumberFormat="1" applyFont="1" applyFill="1" applyBorder="1" applyAlignment="1" applyProtection="1"/>
    <xf numFmtId="49" fontId="9" fillId="0" borderId="4" xfId="2" applyNumberFormat="1" applyFont="1" applyFill="1" applyBorder="1" applyAlignment="1" applyProtection="1"/>
    <xf numFmtId="49" fontId="1" fillId="0" borderId="4" xfId="0" applyNumberFormat="1" applyFont="1" applyFill="1" applyBorder="1"/>
    <xf numFmtId="49" fontId="1" fillId="0" borderId="4" xfId="0" applyNumberFormat="1" applyFont="1" applyFill="1" applyBorder="1" applyAlignment="1">
      <alignment horizontal="right"/>
    </xf>
    <xf numFmtId="49" fontId="14" fillId="0" borderId="4" xfId="4" applyNumberFormat="1" applyFont="1" applyFill="1" applyBorder="1" applyAlignment="1" applyProtection="1"/>
    <xf numFmtId="49" fontId="10" fillId="0" borderId="4" xfId="0" applyNumberFormat="1" applyFont="1" applyFill="1" applyBorder="1"/>
    <xf numFmtId="49" fontId="1" fillId="0" borderId="5" xfId="0" applyNumberFormat="1" applyFont="1" applyFill="1" applyBorder="1"/>
    <xf numFmtId="0" fontId="1" fillId="0" borderId="0" xfId="0" applyFont="1" applyFill="1" applyBorder="1" applyAlignment="1">
      <alignment horizontal="left"/>
    </xf>
    <xf numFmtId="0" fontId="2" fillId="0" borderId="0" xfId="0" applyFont="1" applyFill="1" applyBorder="1" applyAlignment="1">
      <alignment horizontal="center"/>
    </xf>
    <xf numFmtId="0" fontId="1" fillId="0" borderId="0" xfId="0" applyFont="1" applyFill="1" applyBorder="1" applyAlignment="1">
      <alignment horizontal="right"/>
    </xf>
    <xf numFmtId="49" fontId="7" fillId="0" borderId="0" xfId="2" applyNumberFormat="1" applyFont="1" applyFill="1" applyBorder="1" applyAlignment="1" applyProtection="1"/>
    <xf numFmtId="49" fontId="0" fillId="0" borderId="0" xfId="0" applyNumberFormat="1" applyFill="1" applyBorder="1"/>
    <xf numFmtId="49" fontId="1" fillId="0" borderId="0" xfId="0" applyNumberFormat="1" applyFont="1" applyFill="1" applyBorder="1" applyAlignment="1">
      <alignment horizontal="right"/>
    </xf>
    <xf numFmtId="49" fontId="14" fillId="0" borderId="0" xfId="4" applyNumberFormat="1" applyFont="1" applyFill="1" applyBorder="1" applyAlignment="1" applyProtection="1"/>
    <xf numFmtId="49" fontId="10" fillId="0" borderId="0" xfId="0" applyNumberFormat="1" applyFont="1" applyFill="1" applyBorder="1"/>
    <xf numFmtId="0" fontId="3" fillId="0" borderId="0" xfId="0" applyFont="1" applyFill="1" applyBorder="1" applyAlignment="1">
      <alignment horizontal="center"/>
    </xf>
    <xf numFmtId="10" fontId="3" fillId="0" borderId="0" xfId="1" applyNumberFormat="1" applyFont="1" applyFill="1" applyBorder="1" applyAlignment="1" applyProtection="1">
      <alignment horizontal="center"/>
    </xf>
    <xf numFmtId="0" fontId="2" fillId="0" borderId="0" xfId="0" applyFont="1" applyFill="1" applyAlignment="1">
      <alignment horizontal="center"/>
    </xf>
    <xf numFmtId="2" fontId="3" fillId="0" borderId="0" xfId="2" applyNumberFormat="1" applyFont="1" applyFill="1" applyBorder="1" applyAlignment="1" applyProtection="1"/>
    <xf numFmtId="2" fontId="3" fillId="0" borderId="0" xfId="0" applyNumberFormat="1" applyFont="1" applyFill="1" applyBorder="1"/>
    <xf numFmtId="2" fontId="1" fillId="0" borderId="0" xfId="0" applyNumberFormat="1" applyFont="1" applyFill="1" applyAlignment="1">
      <alignment horizontal="right"/>
    </xf>
    <xf numFmtId="2" fontId="14" fillId="0" borderId="0" xfId="4" applyNumberFormat="1" applyFont="1" applyFill="1" applyBorder="1" applyAlignment="1" applyProtection="1"/>
    <xf numFmtId="2" fontId="10" fillId="0" borderId="0" xfId="0" applyNumberFormat="1" applyFont="1" applyFill="1"/>
    <xf numFmtId="2" fontId="0" fillId="0" borderId="0" xfId="0" applyNumberFormat="1" applyFill="1"/>
    <xf numFmtId="0" fontId="1" fillId="0" borderId="17" xfId="0" applyFont="1" applyBorder="1" applyAlignment="1">
      <alignment horizontal="right"/>
    </xf>
    <xf numFmtId="4" fontId="1" fillId="0" borderId="18" xfId="1" applyNumberFormat="1" applyFont="1" applyFill="1" applyBorder="1" applyAlignment="1" applyProtection="1"/>
    <xf numFmtId="2" fontId="1" fillId="3" borderId="0" xfId="2" applyNumberFormat="1" applyFont="1" applyFill="1" applyBorder="1" applyAlignment="1" applyProtection="1"/>
    <xf numFmtId="2" fontId="1" fillId="3" borderId="0" xfId="0" applyNumberFormat="1" applyFont="1" applyFill="1" applyBorder="1"/>
    <xf numFmtId="2" fontId="1" fillId="3" borderId="0" xfId="0" applyNumberFormat="1" applyFont="1" applyFill="1" applyAlignment="1">
      <alignment horizontal="right"/>
    </xf>
    <xf numFmtId="2" fontId="1" fillId="3" borderId="0" xfId="4" applyNumberFormat="1" applyFont="1" applyFill="1" applyBorder="1" applyAlignment="1" applyProtection="1"/>
    <xf numFmtId="2" fontId="10" fillId="3" borderId="0" xfId="0" applyNumberFormat="1" applyFont="1" applyFill="1"/>
    <xf numFmtId="2" fontId="1" fillId="3" borderId="0" xfId="0" applyNumberFormat="1" applyFont="1" applyFill="1"/>
    <xf numFmtId="0" fontId="1" fillId="0" borderId="2" xfId="0" applyFont="1" applyBorder="1" applyAlignment="1">
      <alignment horizontal="right"/>
    </xf>
    <xf numFmtId="4" fontId="1" fillId="0" borderId="3" xfId="1" applyNumberFormat="1" applyFont="1" applyFill="1" applyBorder="1" applyAlignment="1" applyProtection="1"/>
    <xf numFmtId="3" fontId="24" fillId="3" borderId="11" xfId="0" applyNumberFormat="1" applyFont="1" applyFill="1" applyBorder="1"/>
    <xf numFmtId="0" fontId="3" fillId="0" borderId="2" xfId="0" applyFont="1" applyFill="1" applyBorder="1" applyAlignment="1">
      <alignment horizontal="right"/>
    </xf>
    <xf numFmtId="4" fontId="3" fillId="0" borderId="3" xfId="1" applyNumberFormat="1" applyFont="1" applyFill="1" applyBorder="1" applyAlignment="1" applyProtection="1"/>
    <xf numFmtId="0" fontId="3" fillId="6" borderId="0" xfId="0" applyFont="1" applyFill="1" applyAlignment="1">
      <alignment horizontal="left"/>
    </xf>
    <xf numFmtId="0" fontId="2" fillId="6" borderId="0" xfId="0" applyFont="1" applyFill="1" applyAlignment="1">
      <alignment horizontal="center"/>
    </xf>
    <xf numFmtId="0" fontId="1" fillId="6" borderId="2" xfId="0" applyFont="1" applyFill="1" applyBorder="1" applyAlignment="1">
      <alignment horizontal="right"/>
    </xf>
    <xf numFmtId="10" fontId="1" fillId="6" borderId="3" xfId="1" applyNumberFormat="1" applyFont="1" applyFill="1" applyBorder="1" applyAlignment="1" applyProtection="1"/>
    <xf numFmtId="2" fontId="1" fillId="0" borderId="0" xfId="4" applyNumberFormat="1" applyFont="1" applyFill="1" applyBorder="1" applyAlignment="1" applyProtection="1"/>
    <xf numFmtId="2" fontId="1" fillId="0" borderId="0" xfId="0" applyNumberFormat="1" applyFont="1" applyFill="1"/>
    <xf numFmtId="4" fontId="1" fillId="0" borderId="2" xfId="0" applyNumberFormat="1" applyFont="1" applyBorder="1" applyAlignment="1">
      <alignment horizontal="right"/>
    </xf>
    <xf numFmtId="10" fontId="10" fillId="0" borderId="3" xfId="1" applyNumberFormat="1" applyFont="1" applyFill="1" applyBorder="1" applyAlignment="1" applyProtection="1">
      <alignment horizontal="left"/>
    </xf>
    <xf numFmtId="0" fontId="0" fillId="0" borderId="3" xfId="0" applyFill="1" applyBorder="1" applyAlignment="1">
      <alignment horizontal="center"/>
    </xf>
    <xf numFmtId="167" fontId="1" fillId="0" borderId="0" xfId="0" applyNumberFormat="1" applyFont="1" applyFill="1" applyBorder="1" applyAlignment="1">
      <alignment horizontal="right"/>
    </xf>
    <xf numFmtId="2" fontId="1" fillId="3" borderId="0" xfId="0" applyNumberFormat="1" applyFont="1" applyFill="1" applyBorder="1" applyAlignment="1">
      <alignment horizontal="right"/>
    </xf>
    <xf numFmtId="167" fontId="1" fillId="0" borderId="2" xfId="0" applyNumberFormat="1" applyFont="1" applyBorder="1" applyAlignment="1">
      <alignment horizontal="right"/>
    </xf>
    <xf numFmtId="4" fontId="3" fillId="0" borderId="2" xfId="0" applyNumberFormat="1" applyFont="1" applyFill="1" applyBorder="1" applyAlignment="1">
      <alignment horizontal="right"/>
    </xf>
    <xf numFmtId="10" fontId="20" fillId="0" borderId="3" xfId="1" applyNumberFormat="1" applyFont="1" applyFill="1" applyBorder="1" applyAlignment="1" applyProtection="1">
      <alignment horizontal="left"/>
    </xf>
    <xf numFmtId="0" fontId="1" fillId="6" borderId="0" xfId="0" applyFont="1" applyFill="1" applyAlignment="1">
      <alignment horizontal="left"/>
    </xf>
    <xf numFmtId="0" fontId="0" fillId="6" borderId="0" xfId="0" applyFill="1" applyAlignment="1">
      <alignment horizontal="center"/>
    </xf>
    <xf numFmtId="4" fontId="3" fillId="6" borderId="2" xfId="0" applyNumberFormat="1" applyFont="1" applyFill="1" applyBorder="1" applyAlignment="1">
      <alignment horizontal="right"/>
    </xf>
    <xf numFmtId="4" fontId="3" fillId="6" borderId="3" xfId="1" applyNumberFormat="1" applyFont="1" applyFill="1" applyBorder="1" applyAlignment="1" applyProtection="1"/>
    <xf numFmtId="2" fontId="1" fillId="0" borderId="0" xfId="0" applyNumberFormat="1" applyFont="1" applyFill="1" applyBorder="1"/>
    <xf numFmtId="0" fontId="1" fillId="3" borderId="0" xfId="0" applyFont="1" applyFill="1" applyAlignment="1">
      <alignment horizontal="center" wrapText="1"/>
    </xf>
    <xf numFmtId="2" fontId="1" fillId="3" borderId="0" xfId="0" applyNumberFormat="1" applyFont="1" applyFill="1" applyAlignment="1">
      <alignment horizontal="center" vertical="center" wrapText="1"/>
    </xf>
    <xf numFmtId="0" fontId="25" fillId="0" borderId="0" xfId="0" applyFont="1" applyAlignment="1">
      <alignment horizontal="center"/>
    </xf>
    <xf numFmtId="0" fontId="26" fillId="0" borderId="2" xfId="0" applyFont="1" applyBorder="1" applyAlignment="1">
      <alignment horizontal="right"/>
    </xf>
    <xf numFmtId="2" fontId="3" fillId="0" borderId="0" xfId="0" applyNumberFormat="1" applyFont="1" applyFill="1" applyAlignment="1">
      <alignment horizontal="right"/>
    </xf>
    <xf numFmtId="2" fontId="3" fillId="0" borderId="0" xfId="4" applyNumberFormat="1" applyFont="1" applyFill="1" applyBorder="1" applyAlignment="1" applyProtection="1"/>
    <xf numFmtId="2" fontId="20" fillId="0" borderId="0" xfId="0" applyNumberFormat="1" applyFont="1" applyFill="1"/>
    <xf numFmtId="2" fontId="3" fillId="0" borderId="0" xfId="0" applyNumberFormat="1" applyFont="1" applyFill="1"/>
    <xf numFmtId="0" fontId="0" fillId="0" borderId="0" xfId="0" applyFont="1" applyAlignment="1">
      <alignment horizontal="center"/>
    </xf>
    <xf numFmtId="2" fontId="1" fillId="0" borderId="2" xfId="0" applyNumberFormat="1" applyFont="1" applyBorder="1"/>
    <xf numFmtId="10" fontId="10" fillId="0" borderId="3" xfId="4" applyNumberFormat="1" applyFont="1" applyFill="1" applyBorder="1" applyAlignment="1" applyProtection="1">
      <alignment horizontal="left"/>
    </xf>
    <xf numFmtId="167" fontId="3" fillId="0" borderId="2" xfId="0" applyNumberFormat="1" applyFont="1" applyFill="1" applyBorder="1" applyAlignment="1">
      <alignment horizontal="right"/>
    </xf>
    <xf numFmtId="49" fontId="1" fillId="3" borderId="0" xfId="0" applyNumberFormat="1" applyFont="1" applyFill="1" applyBorder="1"/>
    <xf numFmtId="49" fontId="1" fillId="3" borderId="0" xfId="4" applyNumberFormat="1" applyFont="1" applyFill="1" applyBorder="1" applyAlignment="1" applyProtection="1"/>
    <xf numFmtId="49" fontId="1" fillId="3" borderId="0" xfId="0" applyNumberFormat="1" applyFont="1" applyFill="1"/>
    <xf numFmtId="0" fontId="1" fillId="6" borderId="19" xfId="0" applyFont="1" applyFill="1" applyBorder="1" applyAlignment="1">
      <alignment horizontal="right"/>
    </xf>
    <xf numFmtId="4" fontId="3" fillId="6" borderId="20" xfId="1" applyNumberFormat="1" applyFont="1" applyFill="1" applyBorder="1" applyAlignment="1" applyProtection="1"/>
    <xf numFmtId="49" fontId="3" fillId="0" borderId="0" xfId="0" applyNumberFormat="1" applyFont="1" applyFill="1" applyBorder="1"/>
    <xf numFmtId="49" fontId="3" fillId="0" borderId="0" xfId="4" applyNumberFormat="1" applyFont="1" applyFill="1" applyBorder="1" applyAlignment="1" applyProtection="1"/>
    <xf numFmtId="49" fontId="3" fillId="0" borderId="0" xfId="0" applyNumberFormat="1" applyFont="1" applyFill="1"/>
    <xf numFmtId="0" fontId="1" fillId="6" borderId="0" xfId="0" applyFont="1" applyFill="1" applyBorder="1" applyAlignment="1">
      <alignment horizontal="right"/>
    </xf>
    <xf numFmtId="4" fontId="3" fillId="0" borderId="21" xfId="1" applyNumberFormat="1" applyFont="1" applyFill="1" applyBorder="1" applyAlignment="1" applyProtection="1"/>
    <xf numFmtId="49" fontId="0" fillId="3" borderId="0" xfId="0" applyNumberFormat="1" applyFill="1"/>
    <xf numFmtId="4" fontId="3" fillId="0" borderId="22" xfId="1" applyNumberFormat="1" applyFont="1" applyFill="1" applyBorder="1" applyAlignment="1" applyProtection="1"/>
    <xf numFmtId="4" fontId="3" fillId="0" borderId="0" xfId="1" applyNumberFormat="1" applyFont="1" applyFill="1" applyBorder="1" applyAlignment="1" applyProtection="1"/>
    <xf numFmtId="4" fontId="3" fillId="0" borderId="23" xfId="0" applyNumberFormat="1" applyFont="1" applyFill="1" applyBorder="1" applyAlignment="1">
      <alignment horizontal="center"/>
    </xf>
    <xf numFmtId="4" fontId="3" fillId="0" borderId="11" xfId="1" applyNumberFormat="1" applyFont="1" applyFill="1" applyBorder="1" applyAlignment="1" applyProtection="1"/>
    <xf numFmtId="4" fontId="1" fillId="3" borderId="0" xfId="0" applyNumberFormat="1" applyFont="1" applyFill="1" applyAlignment="1">
      <alignment horizontal="center"/>
    </xf>
    <xf numFmtId="10" fontId="3" fillId="0" borderId="11" xfId="1" applyNumberFormat="1" applyFont="1" applyFill="1" applyBorder="1" applyAlignment="1" applyProtection="1"/>
    <xf numFmtId="49" fontId="1" fillId="3" borderId="2" xfId="2" applyNumberFormat="1" applyFont="1" applyFill="1" applyBorder="1" applyAlignment="1" applyProtection="1"/>
    <xf numFmtId="49" fontId="7" fillId="5" borderId="0" xfId="2" applyNumberFormat="1" applyFont="1" applyFill="1" applyBorder="1" applyAlignment="1" applyProtection="1"/>
    <xf numFmtId="49" fontId="0" fillId="5" borderId="0" xfId="0" applyNumberFormat="1" applyFill="1" applyBorder="1"/>
    <xf numFmtId="49" fontId="1" fillId="5" borderId="0" xfId="0" applyNumberFormat="1" applyFont="1" applyFill="1" applyAlignment="1">
      <alignment horizontal="right"/>
    </xf>
    <xf numFmtId="49" fontId="14" fillId="5" borderId="0" xfId="4" applyNumberFormat="1" applyFont="1" applyFill="1" applyBorder="1" applyAlignment="1" applyProtection="1"/>
    <xf numFmtId="49" fontId="10" fillId="5" borderId="0" xfId="0" applyNumberFormat="1" applyFont="1" applyFill="1"/>
    <xf numFmtId="49" fontId="0" fillId="5" borderId="0" xfId="0" applyNumberFormat="1" applyFill="1"/>
    <xf numFmtId="4" fontId="1" fillId="0" borderId="0" xfId="0" applyNumberFormat="1" applyFont="1" applyFill="1"/>
    <xf numFmtId="4" fontId="10" fillId="0" borderId="0" xfId="0" applyNumberFormat="1" applyFont="1" applyFill="1"/>
    <xf numFmtId="4" fontId="1" fillId="0" borderId="0" xfId="0" applyNumberFormat="1" applyFont="1"/>
    <xf numFmtId="0" fontId="3" fillId="0" borderId="13" xfId="0" applyFont="1" applyBorder="1"/>
    <xf numFmtId="0" fontId="2" fillId="0" borderId="13" xfId="0" applyFont="1" applyBorder="1"/>
    <xf numFmtId="0" fontId="0" fillId="0" borderId="13" xfId="0" applyBorder="1"/>
    <xf numFmtId="0" fontId="9" fillId="5" borderId="13" xfId="2" applyNumberFormat="1" applyFont="1" applyFill="1" applyBorder="1" applyAlignment="1" applyProtection="1">
      <alignment horizontal="center"/>
    </xf>
    <xf numFmtId="0" fontId="9" fillId="0" borderId="13" xfId="2" applyNumberFormat="1" applyFont="1" applyFill="1" applyBorder="1" applyAlignment="1" applyProtection="1"/>
    <xf numFmtId="10" fontId="3" fillId="0" borderId="11" xfId="0" applyNumberFormat="1" applyFont="1" applyFill="1" applyBorder="1"/>
    <xf numFmtId="10" fontId="3" fillId="0" borderId="0" xfId="0" applyNumberFormat="1" applyFont="1"/>
    <xf numFmtId="10" fontId="1" fillId="0" borderId="0" xfId="0" applyNumberFormat="1" applyFont="1" applyAlignment="1">
      <alignment wrapText="1"/>
    </xf>
    <xf numFmtId="10" fontId="1" fillId="0" borderId="24" xfId="0" applyNumberFormat="1" applyFont="1" applyBorder="1"/>
    <xf numFmtId="4" fontId="3" fillId="0" borderId="0" xfId="0" applyNumberFormat="1" applyFont="1"/>
    <xf numFmtId="0" fontId="1" fillId="0" borderId="24" xfId="0" applyFont="1" applyBorder="1"/>
    <xf numFmtId="10" fontId="3" fillId="0" borderId="0" xfId="0" applyNumberFormat="1" applyFont="1" applyFill="1"/>
    <xf numFmtId="3" fontId="3" fillId="0" borderId="0" xfId="0" applyNumberFormat="1" applyFont="1"/>
    <xf numFmtId="1" fontId="1" fillId="0" borderId="0" xfId="0" applyNumberFormat="1" applyFont="1"/>
    <xf numFmtId="0" fontId="3" fillId="0" borderId="24" xfId="0" applyFont="1" applyBorder="1" applyAlignment="1">
      <alignment horizontal="center"/>
    </xf>
    <xf numFmtId="0" fontId="0" fillId="0" borderId="24" xfId="0" applyBorder="1" applyAlignment="1">
      <alignment horizontal="left"/>
    </xf>
    <xf numFmtId="0" fontId="3" fillId="0" borderId="17" xfId="0" applyFont="1" applyBorder="1" applyAlignment="1">
      <alignment horizontal="center"/>
    </xf>
    <xf numFmtId="0" fontId="3" fillId="0" borderId="21" xfId="0" applyFont="1" applyBorder="1" applyAlignment="1">
      <alignment horizontal="center"/>
    </xf>
    <xf numFmtId="0" fontId="1" fillId="0" borderId="19" xfId="0" applyFont="1" applyBorder="1" applyAlignment="1">
      <alignment horizontal="center"/>
    </xf>
    <xf numFmtId="0" fontId="1" fillId="0" borderId="13" xfId="0" applyFont="1" applyBorder="1" applyAlignment="1">
      <alignment horizontal="center" wrapText="1"/>
    </xf>
    <xf numFmtId="0" fontId="1" fillId="0" borderId="13" xfId="0" applyFont="1" applyBorder="1" applyAlignment="1">
      <alignment horizontal="center"/>
    </xf>
    <xf numFmtId="0" fontId="1" fillId="0" borderId="13" xfId="0" applyFont="1" applyFill="1" applyBorder="1" applyAlignment="1">
      <alignment horizontal="center"/>
    </xf>
    <xf numFmtId="0" fontId="3" fillId="0" borderId="3" xfId="0" applyFont="1" applyBorder="1" applyAlignment="1">
      <alignment horizontal="center"/>
    </xf>
    <xf numFmtId="0" fontId="3" fillId="0" borderId="19" xfId="0" applyFont="1" applyBorder="1" applyAlignment="1">
      <alignment horizontal="center"/>
    </xf>
    <xf numFmtId="0" fontId="1" fillId="0" borderId="20" xfId="0" applyFont="1" applyBorder="1" applyAlignment="1">
      <alignment horizontal="center"/>
    </xf>
    <xf numFmtId="0" fontId="0" fillId="0" borderId="13" xfId="0" applyBorder="1" applyAlignment="1">
      <alignment horizontal="center"/>
    </xf>
    <xf numFmtId="0" fontId="3" fillId="0" borderId="22" xfId="0" applyFont="1" applyBorder="1" applyAlignment="1">
      <alignment horizontal="center"/>
    </xf>
    <xf numFmtId="0" fontId="3" fillId="0" borderId="22" xfId="0" applyFont="1" applyBorder="1"/>
    <xf numFmtId="0" fontId="3" fillId="0" borderId="25" xfId="0" applyFont="1" applyBorder="1" applyAlignment="1">
      <alignment horizontal="center"/>
    </xf>
    <xf numFmtId="0" fontId="1" fillId="0" borderId="22" xfId="0" applyFont="1" applyBorder="1" applyAlignment="1">
      <alignment horizontal="center"/>
    </xf>
    <xf numFmtId="0" fontId="3" fillId="0" borderId="3" xfId="0" applyFont="1" applyBorder="1" applyAlignment="1">
      <alignment horizontal="center" wrapText="1"/>
    </xf>
    <xf numFmtId="0" fontId="3" fillId="0" borderId="0" xfId="0" applyFont="1" applyBorder="1" applyAlignment="1">
      <alignment horizontal="center" wrapText="1"/>
    </xf>
    <xf numFmtId="0" fontId="1" fillId="0" borderId="2" xfId="0" applyFont="1" applyBorder="1"/>
    <xf numFmtId="0" fontId="1" fillId="0" borderId="25" xfId="0" applyFont="1" applyBorder="1"/>
    <xf numFmtId="0" fontId="1" fillId="0" borderId="6" xfId="0" applyFont="1" applyBorder="1" applyAlignment="1">
      <alignment horizontal="center" wrapText="1"/>
    </xf>
    <xf numFmtId="0" fontId="1" fillId="0" borderId="26" xfId="0" applyFont="1" applyBorder="1" applyAlignment="1">
      <alignment wrapText="1"/>
    </xf>
    <xf numFmtId="0" fontId="1" fillId="0" borderId="6" xfId="0" applyFont="1" applyBorder="1" applyAlignment="1">
      <alignment wrapText="1"/>
    </xf>
    <xf numFmtId="0" fontId="1" fillId="0" borderId="27" xfId="0" applyFont="1" applyFill="1" applyBorder="1" applyAlignment="1">
      <alignment wrapText="1"/>
    </xf>
    <xf numFmtId="0" fontId="3" fillId="0" borderId="25" xfId="0" applyFont="1" applyBorder="1" applyAlignment="1">
      <alignment wrapText="1"/>
    </xf>
    <xf numFmtId="0" fontId="1" fillId="0" borderId="28" xfId="0" applyFont="1" applyBorder="1" applyAlignment="1">
      <alignment wrapText="1"/>
    </xf>
    <xf numFmtId="0" fontId="1" fillId="0" borderId="0" xfId="0" applyFont="1" applyBorder="1" applyAlignment="1">
      <alignment wrapText="1"/>
    </xf>
    <xf numFmtId="0" fontId="3" fillId="0" borderId="6" xfId="0" applyFont="1" applyBorder="1" applyAlignment="1">
      <alignment wrapText="1"/>
    </xf>
    <xf numFmtId="0" fontId="1" fillId="0" borderId="29" xfId="0" applyFont="1" applyBorder="1" applyAlignment="1">
      <alignment wrapText="1"/>
    </xf>
    <xf numFmtId="0" fontId="1" fillId="0" borderId="30" xfId="0" applyFont="1" applyBorder="1" applyAlignment="1">
      <alignment wrapText="1"/>
    </xf>
    <xf numFmtId="0" fontId="1" fillId="0" borderId="5" xfId="0" applyFont="1" applyFill="1" applyBorder="1" applyAlignment="1">
      <alignment wrapText="1"/>
    </xf>
    <xf numFmtId="0" fontId="1" fillId="0" borderId="11" xfId="0" applyFont="1" applyFill="1" applyBorder="1" applyAlignment="1">
      <alignment wrapText="1"/>
    </xf>
    <xf numFmtId="0" fontId="1" fillId="0" borderId="25" xfId="0" applyFont="1" applyFill="1" applyBorder="1" applyAlignment="1">
      <alignment wrapText="1"/>
    </xf>
    <xf numFmtId="0" fontId="3" fillId="0" borderId="2" xfId="0" applyFont="1" applyFill="1" applyBorder="1" applyAlignment="1">
      <alignment wrapText="1"/>
    </xf>
    <xf numFmtId="0" fontId="3" fillId="0" borderId="2" xfId="0" applyFont="1" applyFill="1" applyBorder="1" applyAlignment="1">
      <alignment horizontal="center" wrapText="1"/>
    </xf>
    <xf numFmtId="0" fontId="3" fillId="0" borderId="25" xfId="0" applyFont="1" applyFill="1" applyBorder="1" applyAlignment="1">
      <alignment wrapText="1"/>
    </xf>
    <xf numFmtId="0" fontId="3" fillId="0" borderId="0" xfId="0" applyFont="1" applyFill="1" applyBorder="1" applyAlignment="1">
      <alignment wrapText="1"/>
    </xf>
    <xf numFmtId="0" fontId="1" fillId="0" borderId="0" xfId="0" applyNumberFormat="1" applyFont="1" applyAlignment="1">
      <alignment horizontal="center"/>
    </xf>
    <xf numFmtId="10" fontId="1" fillId="0" borderId="0" xfId="0" applyNumberFormat="1" applyFont="1" applyAlignment="1">
      <alignment horizontal="center"/>
    </xf>
    <xf numFmtId="4" fontId="1" fillId="0" borderId="31" xfId="0" applyNumberFormat="1" applyFont="1" applyBorder="1"/>
    <xf numFmtId="4" fontId="3" fillId="0" borderId="25" xfId="0" applyNumberFormat="1" applyFont="1" applyBorder="1"/>
    <xf numFmtId="0" fontId="1" fillId="0" borderId="0" xfId="0" applyNumberFormat="1" applyFont="1" applyBorder="1"/>
    <xf numFmtId="10" fontId="1" fillId="0" borderId="9" xfId="0" applyNumberFormat="1" applyFont="1" applyBorder="1"/>
    <xf numFmtId="4" fontId="1" fillId="0" borderId="32" xfId="0" applyNumberFormat="1" applyFont="1" applyBorder="1"/>
    <xf numFmtId="4" fontId="1" fillId="0" borderId="3" xfId="0" applyNumberFormat="1" applyFont="1" applyBorder="1"/>
    <xf numFmtId="10" fontId="1" fillId="0" borderId="0" xfId="0" applyNumberFormat="1" applyFont="1" applyBorder="1"/>
    <xf numFmtId="4" fontId="1" fillId="0" borderId="25" xfId="0" applyNumberFormat="1" applyFont="1" applyBorder="1"/>
    <xf numFmtId="4" fontId="3" fillId="0" borderId="3" xfId="0" applyNumberFormat="1" applyFont="1" applyBorder="1"/>
    <xf numFmtId="4" fontId="1" fillId="0" borderId="33" xfId="0" applyNumberFormat="1" applyFont="1" applyBorder="1"/>
    <xf numFmtId="4" fontId="1" fillId="0" borderId="34" xfId="0" applyNumberFormat="1" applyFont="1" applyBorder="1"/>
    <xf numFmtId="4" fontId="3" fillId="0" borderId="2" xfId="0" applyNumberFormat="1" applyFont="1" applyBorder="1"/>
    <xf numFmtId="4" fontId="1" fillId="0" borderId="2" xfId="0" applyNumberFormat="1" applyFont="1" applyBorder="1"/>
    <xf numFmtId="4" fontId="1" fillId="0" borderId="35" xfId="0" applyNumberFormat="1" applyFont="1" applyBorder="1"/>
    <xf numFmtId="4" fontId="1" fillId="0" borderId="36" xfId="0" applyNumberFormat="1" applyFont="1" applyBorder="1"/>
    <xf numFmtId="10" fontId="1" fillId="0" borderId="37" xfId="0" applyNumberFormat="1" applyFont="1" applyBorder="1" applyAlignment="1">
      <alignment horizontal="center"/>
    </xf>
    <xf numFmtId="4" fontId="1" fillId="0" borderId="38" xfId="0" applyNumberFormat="1" applyFont="1" applyBorder="1"/>
    <xf numFmtId="4" fontId="1" fillId="0" borderId="22" xfId="0" applyNumberFormat="1" applyFont="1" applyBorder="1"/>
    <xf numFmtId="4" fontId="3" fillId="0" borderId="22" xfId="0" applyNumberFormat="1" applyFont="1" applyBorder="1"/>
    <xf numFmtId="4" fontId="3" fillId="0" borderId="39" xfId="0" applyNumberFormat="1" applyFont="1" applyBorder="1"/>
    <xf numFmtId="4" fontId="1" fillId="0" borderId="23" xfId="0" applyNumberFormat="1" applyFont="1" applyBorder="1"/>
    <xf numFmtId="4" fontId="1" fillId="0" borderId="39" xfId="0" applyNumberFormat="1" applyFont="1" applyBorder="1"/>
    <xf numFmtId="4" fontId="3" fillId="0" borderId="40" xfId="0" applyNumberFormat="1" applyFont="1" applyBorder="1"/>
    <xf numFmtId="4" fontId="3" fillId="0" borderId="41" xfId="0" applyNumberFormat="1" applyFont="1" applyBorder="1"/>
    <xf numFmtId="4" fontId="1" fillId="0" borderId="42" xfId="0" applyNumberFormat="1" applyFont="1" applyBorder="1"/>
    <xf numFmtId="0" fontId="1" fillId="0" borderId="43" xfId="0" applyNumberFormat="1" applyFont="1" applyBorder="1"/>
    <xf numFmtId="4" fontId="1" fillId="0" borderId="9" xfId="0" applyNumberFormat="1" applyFont="1" applyBorder="1"/>
    <xf numFmtId="4" fontId="3" fillId="0" borderId="9" xfId="0" applyNumberFormat="1" applyFont="1" applyBorder="1"/>
    <xf numFmtId="4" fontId="1" fillId="0" borderId="11" xfId="0" applyNumberFormat="1" applyFont="1" applyBorder="1"/>
    <xf numFmtId="4" fontId="3" fillId="0" borderId="11" xfId="0" applyNumberFormat="1" applyFont="1" applyFill="1" applyBorder="1" applyAlignment="1">
      <alignment horizontal="right"/>
    </xf>
    <xf numFmtId="4" fontId="3" fillId="0" borderId="22" xfId="0" applyNumberFormat="1" applyFont="1" applyFill="1" applyBorder="1"/>
    <xf numFmtId="4" fontId="3" fillId="0" borderId="5" xfId="0" applyNumberFormat="1" applyFont="1" applyFill="1" applyBorder="1"/>
    <xf numFmtId="4" fontId="3" fillId="0" borderId="11" xfId="0" applyNumberFormat="1" applyFont="1" applyFill="1" applyBorder="1"/>
    <xf numFmtId="4" fontId="3" fillId="0" borderId="19" xfId="0" applyNumberFormat="1" applyFont="1" applyFill="1" applyBorder="1"/>
    <xf numFmtId="4" fontId="1" fillId="0" borderId="0" xfId="0" applyNumberFormat="1" applyFont="1" applyBorder="1"/>
    <xf numFmtId="4" fontId="3" fillId="0" borderId="0" xfId="0" applyNumberFormat="1" applyFont="1" applyBorder="1"/>
    <xf numFmtId="4" fontId="3" fillId="0" borderId="11" xfId="0" applyNumberFormat="1" applyFont="1" applyBorder="1"/>
    <xf numFmtId="4" fontId="1" fillId="0" borderId="24" xfId="0" applyNumberFormat="1" applyFont="1" applyBorder="1" applyAlignment="1">
      <alignment horizontal="right"/>
    </xf>
    <xf numFmtId="0" fontId="0" fillId="0" borderId="24" xfId="0" applyBorder="1" applyAlignment="1"/>
    <xf numFmtId="4" fontId="3" fillId="3" borderId="22" xfId="0" applyNumberFormat="1" applyFont="1" applyFill="1" applyBorder="1" applyAlignment="1">
      <alignment horizontal="right"/>
    </xf>
    <xf numFmtId="4" fontId="3" fillId="0" borderId="0" xfId="0" applyNumberFormat="1" applyFont="1" applyFill="1" applyBorder="1" applyAlignment="1">
      <alignment horizontal="right"/>
    </xf>
    <xf numFmtId="4" fontId="3" fillId="0" borderId="0" xfId="0" applyNumberFormat="1" applyFont="1" applyBorder="1" applyAlignment="1">
      <alignment horizontal="right"/>
    </xf>
    <xf numFmtId="4" fontId="1" fillId="0" borderId="24" xfId="0" applyNumberFormat="1" applyFont="1" applyFill="1" applyBorder="1"/>
    <xf numFmtId="0" fontId="10" fillId="0" borderId="0" xfId="0" applyFont="1"/>
    <xf numFmtId="4" fontId="10" fillId="0" borderId="0" xfId="0" applyNumberFormat="1" applyFont="1"/>
    <xf numFmtId="4" fontId="3" fillId="0" borderId="13" xfId="0" applyNumberFormat="1" applyFont="1" applyBorder="1"/>
    <xf numFmtId="4" fontId="1" fillId="0" borderId="13" xfId="0" applyNumberFormat="1" applyFont="1" applyBorder="1"/>
    <xf numFmtId="4" fontId="1" fillId="0" borderId="13" xfId="0" applyNumberFormat="1" applyFont="1" applyFill="1" applyBorder="1"/>
    <xf numFmtId="4" fontId="3" fillId="0" borderId="3" xfId="0" applyNumberFormat="1" applyFont="1" applyBorder="1" applyAlignment="1">
      <alignment horizontal="right"/>
    </xf>
    <xf numFmtId="0" fontId="3" fillId="0" borderId="13" xfId="0" applyFont="1" applyBorder="1" applyAlignment="1">
      <alignment horizontal="left"/>
    </xf>
    <xf numFmtId="0" fontId="1" fillId="0" borderId="13" xfId="0" applyNumberFormat="1" applyFont="1" applyBorder="1"/>
    <xf numFmtId="0" fontId="1" fillId="0" borderId="13" xfId="0" applyFont="1" applyBorder="1"/>
    <xf numFmtId="0" fontId="1" fillId="0" borderId="3" xfId="0" applyFont="1" applyBorder="1"/>
    <xf numFmtId="0" fontId="10" fillId="0" borderId="13" xfId="0" applyFont="1" applyBorder="1"/>
    <xf numFmtId="4" fontId="10" fillId="0" borderId="13" xfId="0" applyNumberFormat="1" applyFont="1" applyBorder="1"/>
    <xf numFmtId="4" fontId="10" fillId="3" borderId="0" xfId="0" applyNumberFormat="1" applyFont="1" applyFill="1" applyBorder="1"/>
    <xf numFmtId="4" fontId="10" fillId="3" borderId="18" xfId="0" applyNumberFormat="1" applyFont="1" applyFill="1" applyBorder="1"/>
    <xf numFmtId="4" fontId="10" fillId="3" borderId="44" xfId="0" applyNumberFormat="1" applyFont="1" applyFill="1" applyBorder="1"/>
    <xf numFmtId="4" fontId="10" fillId="3" borderId="0" xfId="0" applyNumberFormat="1" applyFont="1" applyFill="1" applyBorder="1" applyAlignment="1">
      <alignment horizontal="right"/>
    </xf>
    <xf numFmtId="4" fontId="20" fillId="3" borderId="0" xfId="0" applyNumberFormat="1" applyFont="1" applyFill="1" applyBorder="1" applyAlignment="1">
      <alignment horizontal="right"/>
    </xf>
    <xf numFmtId="0" fontId="10" fillId="3" borderId="0" xfId="0" applyFont="1" applyFill="1" applyAlignment="1">
      <alignment horizontal="right"/>
    </xf>
    <xf numFmtId="0" fontId="10" fillId="3" borderId="0" xfId="0" applyFont="1" applyFill="1" applyBorder="1"/>
    <xf numFmtId="0" fontId="10" fillId="3" borderId="18" xfId="0" applyFont="1" applyFill="1" applyBorder="1"/>
    <xf numFmtId="4" fontId="10" fillId="3" borderId="2" xfId="0" applyNumberFormat="1" applyFont="1" applyFill="1" applyBorder="1"/>
    <xf numFmtId="4" fontId="1" fillId="3" borderId="0" xfId="0" applyNumberFormat="1" applyFont="1" applyFill="1" applyBorder="1" applyAlignment="1">
      <alignment wrapText="1"/>
    </xf>
    <xf numFmtId="4" fontId="1" fillId="0" borderId="0" xfId="0" applyNumberFormat="1" applyFont="1" applyBorder="1" applyAlignment="1">
      <alignment horizontal="center" wrapText="1"/>
    </xf>
    <xf numFmtId="4" fontId="1" fillId="0" borderId="0" xfId="0" applyNumberFormat="1" applyFont="1" applyFill="1" applyBorder="1" applyAlignment="1">
      <alignment horizontal="center" wrapText="1"/>
    </xf>
    <xf numFmtId="4" fontId="1" fillId="0" borderId="20" xfId="0" applyNumberFormat="1" applyFont="1" applyBorder="1" applyAlignment="1">
      <alignment horizontal="center" wrapText="1"/>
    </xf>
    <xf numFmtId="4" fontId="1" fillId="0" borderId="45" xfId="0" applyNumberFormat="1" applyFont="1" applyBorder="1" applyAlignment="1">
      <alignment horizontal="center" wrapText="1"/>
    </xf>
    <xf numFmtId="4" fontId="3" fillId="0" borderId="19" xfId="0" applyNumberFormat="1" applyFont="1" applyBorder="1" applyAlignment="1">
      <alignment horizontal="center" wrapText="1"/>
    </xf>
    <xf numFmtId="4" fontId="3" fillId="0" borderId="0" xfId="0" applyNumberFormat="1" applyFont="1" applyBorder="1" applyAlignment="1">
      <alignment horizontal="center" wrapText="1"/>
    </xf>
    <xf numFmtId="4" fontId="3" fillId="0" borderId="13" xfId="0" applyNumberFormat="1" applyFont="1" applyBorder="1" applyAlignment="1">
      <alignment horizontal="center" wrapText="1"/>
    </xf>
    <xf numFmtId="4" fontId="1" fillId="0" borderId="0" xfId="0" applyNumberFormat="1" applyFont="1" applyBorder="1" applyAlignment="1">
      <alignment horizontal="center"/>
    </xf>
    <xf numFmtId="0" fontId="1" fillId="0" borderId="0" xfId="0" applyFont="1" applyBorder="1" applyAlignment="1">
      <alignment horizontal="center" wrapText="1"/>
    </xf>
    <xf numFmtId="0" fontId="1" fillId="0" borderId="20" xfId="0" applyFont="1" applyBorder="1" applyAlignment="1">
      <alignment horizontal="center" wrapText="1"/>
    </xf>
    <xf numFmtId="0" fontId="3" fillId="0" borderId="2" xfId="0" applyFont="1" applyBorder="1" applyAlignment="1">
      <alignment horizontal="center" wrapText="1"/>
    </xf>
    <xf numFmtId="0" fontId="3" fillId="0" borderId="25" xfId="0" applyFont="1" applyBorder="1" applyAlignment="1">
      <alignment horizontal="center" wrapText="1"/>
    </xf>
    <xf numFmtId="4" fontId="3" fillId="0" borderId="3" xfId="0" applyNumberFormat="1" applyFont="1" applyBorder="1" applyAlignment="1">
      <alignment horizontal="center" wrapText="1"/>
    </xf>
    <xf numFmtId="4" fontId="3" fillId="3" borderId="0" xfId="0" applyNumberFormat="1" applyFont="1" applyFill="1" applyAlignment="1">
      <alignment wrapText="1"/>
    </xf>
    <xf numFmtId="4" fontId="1" fillId="3" borderId="11" xfId="0" applyNumberFormat="1" applyFont="1" applyFill="1" applyBorder="1"/>
    <xf numFmtId="4" fontId="3" fillId="3" borderId="22" xfId="0" applyNumberFormat="1" applyFont="1" applyFill="1" applyBorder="1"/>
    <xf numFmtId="4" fontId="3" fillId="5" borderId="16" xfId="0" applyNumberFormat="1" applyFont="1" applyFill="1" applyBorder="1"/>
    <xf numFmtId="4" fontId="3" fillId="0" borderId="13" xfId="0" applyNumberFormat="1" applyFont="1" applyFill="1" applyBorder="1"/>
    <xf numFmtId="4" fontId="1" fillId="0" borderId="4" xfId="0" applyNumberFormat="1" applyFont="1" applyBorder="1"/>
    <xf numFmtId="4" fontId="3" fillId="0" borderId="4" xfId="0" applyNumberFormat="1" applyFont="1" applyBorder="1"/>
    <xf numFmtId="4" fontId="1" fillId="0" borderId="5" xfId="0" applyNumberFormat="1" applyFont="1" applyBorder="1"/>
    <xf numFmtId="4" fontId="1" fillId="0" borderId="16" xfId="0" applyNumberFormat="1" applyFont="1" applyBorder="1"/>
    <xf numFmtId="4" fontId="1" fillId="3" borderId="4" xfId="0" applyNumberFormat="1" applyFont="1" applyFill="1" applyBorder="1"/>
    <xf numFmtId="4" fontId="1" fillId="3" borderId="5" xfId="0" applyNumberFormat="1" applyFont="1" applyFill="1" applyBorder="1"/>
    <xf numFmtId="4" fontId="3" fillId="3" borderId="20" xfId="0" applyNumberFormat="1" applyFont="1" applyFill="1" applyBorder="1"/>
    <xf numFmtId="4" fontId="1" fillId="3" borderId="20" xfId="0" applyNumberFormat="1" applyFont="1" applyFill="1" applyBorder="1"/>
    <xf numFmtId="4" fontId="3" fillId="3" borderId="11" xfId="0" applyNumberFormat="1" applyFont="1" applyFill="1" applyBorder="1"/>
    <xf numFmtId="4" fontId="1" fillId="0" borderId="24" xfId="0" applyNumberFormat="1" applyFont="1" applyBorder="1"/>
    <xf numFmtId="4" fontId="3" fillId="0" borderId="24" xfId="0" applyNumberFormat="1" applyFont="1" applyBorder="1"/>
    <xf numFmtId="4" fontId="3" fillId="0" borderId="24" xfId="0" applyNumberFormat="1" applyFont="1" applyFill="1" applyBorder="1"/>
    <xf numFmtId="4" fontId="3" fillId="5" borderId="24" xfId="0" applyNumberFormat="1" applyFont="1" applyFill="1" applyBorder="1"/>
    <xf numFmtId="4" fontId="3" fillId="5" borderId="0" xfId="0" applyNumberFormat="1" applyFont="1" applyFill="1" applyBorder="1"/>
    <xf numFmtId="4" fontId="3" fillId="3" borderId="0" xfId="0" applyNumberFormat="1" applyFont="1" applyFill="1"/>
    <xf numFmtId="4" fontId="3" fillId="5" borderId="0" xfId="0" applyNumberFormat="1" applyFont="1" applyFill="1"/>
    <xf numFmtId="0" fontId="24" fillId="0" borderId="0" xfId="0" applyFont="1"/>
    <xf numFmtId="0" fontId="0" fillId="0" borderId="0" xfId="0" applyBorder="1" applyAlignment="1">
      <alignment horizontal="center" wrapText="1"/>
    </xf>
    <xf numFmtId="3" fontId="0" fillId="0" borderId="0" xfId="0" applyNumberFormat="1" applyFont="1"/>
    <xf numFmtId="3" fontId="2" fillId="0" borderId="0" xfId="0" applyNumberFormat="1" applyFont="1"/>
    <xf numFmtId="170" fontId="0" fillId="0" borderId="0" xfId="3" applyNumberFormat="1" applyFont="1" applyFill="1" applyBorder="1" applyAlignment="1" applyProtection="1"/>
    <xf numFmtId="0" fontId="2" fillId="0" borderId="0" xfId="0" applyFont="1"/>
    <xf numFmtId="10" fontId="0" fillId="0" borderId="0" xfId="4" applyNumberFormat="1" applyFont="1" applyFill="1" applyBorder="1" applyAlignment="1" applyProtection="1"/>
    <xf numFmtId="10" fontId="0" fillId="0" borderId="0" xfId="0" applyNumberFormat="1"/>
    <xf numFmtId="171" fontId="2" fillId="0" borderId="0" xfId="0" applyNumberFormat="1" applyFont="1"/>
    <xf numFmtId="172" fontId="0" fillId="0" borderId="0" xfId="0" applyNumberFormat="1"/>
    <xf numFmtId="0" fontId="0" fillId="0" borderId="0" xfId="0" applyFont="1" applyBorder="1"/>
    <xf numFmtId="0" fontId="1" fillId="0" borderId="0" xfId="0" applyNumberFormat="1" applyFont="1" applyBorder="1" applyAlignment="1">
      <alignment horizontal="center"/>
    </xf>
    <xf numFmtId="3" fontId="0" fillId="0" borderId="0" xfId="0" applyNumberFormat="1" applyFont="1" applyBorder="1"/>
    <xf numFmtId="3" fontId="0" fillId="0" borderId="0" xfId="0" applyNumberFormat="1" applyFont="1" applyFill="1" applyBorder="1"/>
    <xf numFmtId="0" fontId="0" fillId="0" borderId="0" xfId="0" applyNumberFormat="1" applyFont="1" applyBorder="1" applyAlignment="1">
      <alignment horizontal="center"/>
    </xf>
    <xf numFmtId="0" fontId="27" fillId="0" borderId="0" xfId="0" applyFont="1"/>
    <xf numFmtId="0" fontId="28" fillId="0" borderId="0" xfId="0" applyFont="1"/>
    <xf numFmtId="0" fontId="9" fillId="5" borderId="0" xfId="2" applyNumberFormat="1" applyFont="1" applyFill="1" applyBorder="1" applyAlignment="1" applyProtection="1">
      <alignment horizontal="center"/>
    </xf>
    <xf numFmtId="0" fontId="3" fillId="0" borderId="0" xfId="0" applyFont="1"/>
    <xf numFmtId="0" fontId="0" fillId="0" borderId="0" xfId="0" applyFont="1"/>
    <xf numFmtId="0" fontId="3" fillId="0" borderId="11" xfId="0" applyFont="1" applyBorder="1"/>
    <xf numFmtId="9" fontId="1" fillId="0" borderId="0" xfId="4" applyFont="1" applyFill="1" applyBorder="1" applyAlignment="1" applyProtection="1"/>
    <xf numFmtId="9" fontId="3" fillId="0" borderId="0" xfId="4" applyFont="1" applyFill="1" applyBorder="1" applyAlignment="1" applyProtection="1"/>
    <xf numFmtId="168" fontId="1" fillId="0" borderId="0" xfId="4" applyNumberFormat="1" applyFont="1" applyFill="1" applyBorder="1" applyAlignment="1" applyProtection="1"/>
    <xf numFmtId="2" fontId="1" fillId="0" borderId="0" xfId="0" applyNumberFormat="1" applyFont="1"/>
    <xf numFmtId="9" fontId="2" fillId="0" borderId="0" xfId="4" applyFont="1" applyFill="1" applyBorder="1" applyAlignment="1" applyProtection="1"/>
    <xf numFmtId="4" fontId="1" fillId="0" borderId="6" xfId="0" applyNumberFormat="1" applyFont="1" applyBorder="1"/>
    <xf numFmtId="10" fontId="3" fillId="0" borderId="11" xfId="0" applyNumberFormat="1" applyFont="1" applyBorder="1"/>
    <xf numFmtId="0" fontId="2" fillId="0" borderId="6" xfId="0" applyFont="1" applyBorder="1" applyAlignment="1"/>
    <xf numFmtId="0" fontId="27" fillId="0" borderId="0" xfId="0" applyFont="1" applyBorder="1"/>
    <xf numFmtId="0" fontId="3" fillId="0" borderId="0" xfId="0" applyFont="1" applyAlignment="1"/>
    <xf numFmtId="0" fontId="10" fillId="0" borderId="0" xfId="0" applyFont="1" applyAlignment="1">
      <alignment wrapText="1"/>
    </xf>
    <xf numFmtId="0" fontId="1" fillId="0" borderId="0" xfId="0" applyFont="1" applyAlignment="1">
      <alignment wrapText="1"/>
    </xf>
    <xf numFmtId="173" fontId="3" fillId="0" borderId="0" xfId="0" applyNumberFormat="1" applyFont="1" applyAlignment="1">
      <alignment horizontal="center"/>
    </xf>
    <xf numFmtId="173" fontId="1" fillId="0" borderId="0" xfId="0" applyNumberFormat="1" applyFont="1" applyAlignment="1">
      <alignment horizontal="center"/>
    </xf>
    <xf numFmtId="4" fontId="33" fillId="0" borderId="5" xfId="0" applyNumberFormat="1" applyFont="1" applyBorder="1"/>
    <xf numFmtId="0" fontId="34" fillId="0" borderId="30" xfId="0" applyFont="1" applyBorder="1" applyAlignment="1">
      <alignment wrapText="1"/>
    </xf>
    <xf numFmtId="4" fontId="33" fillId="3" borderId="11" xfId="0" applyNumberFormat="1" applyFont="1" applyFill="1" applyBorder="1"/>
    <xf numFmtId="4" fontId="33" fillId="3" borderId="19" xfId="0" applyNumberFormat="1" applyFont="1" applyFill="1" applyBorder="1"/>
    <xf numFmtId="4" fontId="0" fillId="0" borderId="0" xfId="0" applyNumberFormat="1"/>
    <xf numFmtId="0" fontId="9" fillId="7" borderId="0" xfId="2" applyNumberFormat="1" applyFont="1" applyFill="1" applyBorder="1" applyAlignment="1" applyProtection="1">
      <alignment horizontal="center"/>
    </xf>
    <xf numFmtId="0" fontId="33" fillId="0" borderId="13" xfId="0" applyFont="1" applyBorder="1" applyAlignment="1"/>
    <xf numFmtId="49" fontId="2" fillId="0" borderId="21" xfId="0" applyNumberFormat="1" applyFont="1" applyBorder="1" applyAlignment="1">
      <alignment horizontal="center" wrapText="1"/>
    </xf>
    <xf numFmtId="0" fontId="2" fillId="0" borderId="25" xfId="0" applyFont="1" applyBorder="1" applyAlignment="1">
      <alignment horizontal="center" wrapText="1"/>
    </xf>
    <xf numFmtId="0" fontId="2" fillId="0" borderId="22" xfId="0" applyFont="1" applyBorder="1" applyAlignment="1">
      <alignment horizontal="center"/>
    </xf>
    <xf numFmtId="0" fontId="1" fillId="0" borderId="0" xfId="0" applyFont="1" applyBorder="1" applyAlignment="1"/>
    <xf numFmtId="49" fontId="1" fillId="0" borderId="0" xfId="0" applyNumberFormat="1" applyFont="1" applyBorder="1" applyAlignment="1">
      <alignment readingOrder="1"/>
    </xf>
    <xf numFmtId="49" fontId="11" fillId="0" borderId="0" xfId="0" applyNumberFormat="1" applyFont="1" applyBorder="1" applyAlignment="1">
      <alignment shrinkToFit="1"/>
    </xf>
    <xf numFmtId="0" fontId="3" fillId="0" borderId="16" xfId="0" applyFont="1" applyBorder="1" applyAlignment="1"/>
    <xf numFmtId="0" fontId="1" fillId="2" borderId="0" xfId="0" applyFont="1" applyFill="1" applyBorder="1" applyAlignment="1"/>
    <xf numFmtId="0" fontId="1" fillId="0" borderId="0" xfId="0" applyFont="1" applyBorder="1" applyAlignment="1">
      <alignment horizontal="right"/>
    </xf>
    <xf numFmtId="0" fontId="1" fillId="3" borderId="0" xfId="0" applyFont="1" applyFill="1" applyBorder="1" applyAlignment="1">
      <alignment horizontal="left"/>
    </xf>
    <xf numFmtId="0" fontId="1" fillId="3" borderId="0" xfId="0" applyFont="1" applyFill="1" applyBorder="1" applyAlignment="1">
      <alignment vertical="center" wrapText="1"/>
    </xf>
    <xf numFmtId="0" fontId="1" fillId="3" borderId="0" xfId="0" applyFont="1" applyFill="1" applyBorder="1" applyAlignment="1"/>
    <xf numFmtId="0" fontId="1" fillId="0" borderId="7" xfId="0" applyFont="1" applyBorder="1" applyAlignment="1">
      <alignment horizontal="right"/>
    </xf>
    <xf numFmtId="0" fontId="16" fillId="0" borderId="7" xfId="0" applyFont="1" applyBorder="1" applyAlignment="1">
      <alignment horizontal="right"/>
    </xf>
    <xf numFmtId="0" fontId="3" fillId="0" borderId="0" xfId="0" applyFont="1" applyFill="1" applyBorder="1" applyAlignment="1"/>
    <xf numFmtId="0" fontId="13" fillId="3" borderId="0" xfId="0" applyFont="1" applyFill="1" applyBorder="1" applyAlignment="1">
      <alignment horizontal="left" vertical="center" wrapText="1"/>
    </xf>
    <xf numFmtId="0" fontId="3" fillId="0" borderId="0" xfId="0" applyFont="1" applyBorder="1" applyAlignment="1">
      <alignment horizontal="left"/>
    </xf>
    <xf numFmtId="10" fontId="1" fillId="3"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10" fontId="3" fillId="0" borderId="0" xfId="0" applyNumberFormat="1" applyFont="1" applyFill="1" applyBorder="1" applyAlignment="1">
      <alignment horizontal="left"/>
    </xf>
    <xf numFmtId="0" fontId="3" fillId="0" borderId="0" xfId="0" applyFont="1" applyFill="1" applyBorder="1" applyAlignment="1">
      <alignment horizontal="left"/>
    </xf>
    <xf numFmtId="0" fontId="1" fillId="0" borderId="0" xfId="0" applyFont="1" applyBorder="1" applyAlignment="1">
      <alignment horizontal="left"/>
    </xf>
    <xf numFmtId="2" fontId="1" fillId="3" borderId="25" xfId="2" applyNumberFormat="1" applyFont="1" applyFill="1" applyBorder="1" applyAlignment="1" applyProtection="1"/>
    <xf numFmtId="0" fontId="1" fillId="0" borderId="0" xfId="0" applyFont="1" applyBorder="1" applyAlignment="1">
      <alignment horizontal="left" wrapText="1"/>
    </xf>
    <xf numFmtId="10" fontId="1" fillId="0" borderId="24" xfId="0" applyNumberFormat="1" applyFont="1" applyBorder="1" applyAlignment="1">
      <alignment horizontal="center" wrapText="1"/>
    </xf>
    <xf numFmtId="10" fontId="1" fillId="0" borderId="17" xfId="0" applyNumberFormat="1" applyFont="1" applyBorder="1" applyAlignment="1">
      <alignment horizontal="center" wrapText="1"/>
    </xf>
    <xf numFmtId="0" fontId="3" fillId="0" borderId="21" xfId="0" applyFont="1" applyBorder="1" applyAlignment="1">
      <alignment horizontal="left"/>
    </xf>
    <xf numFmtId="0" fontId="3" fillId="0" borderId="18" xfId="0" applyFont="1" applyBorder="1" applyAlignment="1">
      <alignment horizontal="left"/>
    </xf>
    <xf numFmtId="0" fontId="1" fillId="0" borderId="20" xfId="0" applyFont="1" applyBorder="1" applyAlignment="1">
      <alignment horizontal="center"/>
    </xf>
    <xf numFmtId="4" fontId="1" fillId="0" borderId="20" xfId="0" applyNumberFormat="1" applyFont="1" applyBorder="1" applyAlignment="1">
      <alignment horizontal="center"/>
    </xf>
    <xf numFmtId="0" fontId="33" fillId="0" borderId="22" xfId="0" applyFont="1" applyBorder="1" applyAlignment="1">
      <alignment horizontal="center" vertical="center" wrapText="1"/>
    </xf>
    <xf numFmtId="0" fontId="0" fillId="0" borderId="0" xfId="0" applyFont="1" applyBorder="1" applyAlignment="1">
      <alignment horizontal="center" wrapText="1"/>
    </xf>
    <xf numFmtId="0" fontId="1" fillId="0" borderId="19" xfId="0" applyFont="1" applyBorder="1" applyAlignment="1">
      <alignment horizontal="center" vertical="center"/>
    </xf>
    <xf numFmtId="4" fontId="1" fillId="0" borderId="32" xfId="0" applyNumberFormat="1" applyFont="1" applyBorder="1" applyAlignment="1">
      <alignment horizontal="right"/>
    </xf>
    <xf numFmtId="0" fontId="1" fillId="0" borderId="18" xfId="0" applyFont="1" applyBorder="1" applyAlignment="1">
      <alignment horizontal="center" vertical="center"/>
    </xf>
    <xf numFmtId="4" fontId="3" fillId="0" borderId="0" xfId="0" applyNumberFormat="1" applyFont="1" applyBorder="1" applyAlignment="1">
      <alignment horizontal="right"/>
    </xf>
    <xf numFmtId="4" fontId="34" fillId="0" borderId="11" xfId="0" applyNumberFormat="1" applyFont="1" applyBorder="1" applyAlignment="1">
      <alignment horizontal="center" vertical="center" wrapText="1"/>
    </xf>
    <xf numFmtId="4" fontId="1" fillId="0" borderId="0" xfId="0" applyNumberFormat="1" applyFont="1" applyFill="1" applyBorder="1" applyAlignment="1">
      <alignment wrapText="1"/>
    </xf>
    <xf numFmtId="4" fontId="1" fillId="0" borderId="24" xfId="0" applyNumberFormat="1" applyFont="1" applyFill="1" applyBorder="1" applyAlignment="1">
      <alignment horizontal="center" vertical="center"/>
    </xf>
    <xf numFmtId="0" fontId="1" fillId="0" borderId="2" xfId="0" applyFont="1" applyBorder="1" applyAlignment="1"/>
    <xf numFmtId="0" fontId="35" fillId="0" borderId="6" xfId="0" applyFont="1" applyBorder="1" applyAlignment="1">
      <alignment horizontal="left" vertical="center"/>
    </xf>
    <xf numFmtId="0" fontId="3" fillId="0" borderId="6" xfId="0" applyFont="1" applyBorder="1" applyAlignment="1">
      <alignment horizontal="right" vertical="center"/>
    </xf>
    <xf numFmtId="10" fontId="1" fillId="8" borderId="0" xfId="1" applyNumberFormat="1" applyFont="1" applyFill="1" applyBorder="1" applyAlignment="1" applyProtection="1"/>
    <xf numFmtId="0" fontId="3" fillId="0" borderId="0" xfId="0" applyFont="1" applyAlignment="1">
      <alignment horizontal="left" vertical="center"/>
    </xf>
    <xf numFmtId="0" fontId="1" fillId="8" borderId="0" xfId="1" applyNumberFormat="1" applyFont="1" applyFill="1" applyBorder="1" applyAlignment="1" applyProtection="1"/>
    <xf numFmtId="2" fontId="1" fillId="8" borderId="0" xfId="1" applyNumberFormat="1" applyFont="1" applyFill="1" applyBorder="1" applyAlignment="1" applyProtection="1"/>
    <xf numFmtId="0" fontId="1" fillId="0" borderId="46" xfId="0" applyFont="1" applyBorder="1" applyAlignment="1">
      <alignment horizontal="center"/>
    </xf>
    <xf numFmtId="0" fontId="2" fillId="0" borderId="46" xfId="0" applyFont="1" applyBorder="1" applyAlignment="1">
      <alignment horizontal="center"/>
    </xf>
    <xf numFmtId="0" fontId="3" fillId="0" borderId="47" xfId="0" applyFont="1" applyBorder="1" applyAlignment="1">
      <alignment horizontal="right"/>
    </xf>
    <xf numFmtId="0" fontId="15" fillId="0" borderId="0" xfId="0" applyFont="1" applyAlignment="1">
      <alignment horizontal="center"/>
    </xf>
  </cellXfs>
  <cellStyles count="5">
    <cellStyle name="Euro" xfId="1" xr:uid="{3CBACF5F-7C10-4E09-9140-B96283B4B091}"/>
    <cellStyle name="Lien hypertexte" xfId="2" builtinId="8"/>
    <cellStyle name="Milliers" xfId="3" builtinId="3"/>
    <cellStyle name="Normal" xfId="0" builtinId="0"/>
    <cellStyle name="Pourcentage"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C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absolute">
    <xdr:from>
      <xdr:col>10</xdr:col>
      <xdr:colOff>190500</xdr:colOff>
      <xdr:row>76</xdr:row>
      <xdr:rowOff>99060</xdr:rowOff>
    </xdr:from>
    <xdr:to>
      <xdr:col>12</xdr:col>
      <xdr:colOff>1569372</xdr:colOff>
      <xdr:row>85</xdr:row>
      <xdr:rowOff>11560</xdr:rowOff>
    </xdr:to>
    <xdr:sp macro="" textlink="" fLocksText="0">
      <xdr:nvSpPr>
        <xdr:cNvPr id="3073" name="Text 1">
          <a:extLst>
            <a:ext uri="{FF2B5EF4-FFF2-40B4-BE49-F238E27FC236}">
              <a16:creationId xmlns:a16="http://schemas.microsoft.com/office/drawing/2014/main" id="{FEA40D40-45B5-4A3D-962C-CE3AB713BE16}"/>
            </a:ext>
          </a:extLst>
        </xdr:cNvPr>
        <xdr:cNvSpPr txBox="1">
          <a:spLocks noChangeArrowheads="1"/>
        </xdr:cNvSpPr>
      </xdr:nvSpPr>
      <xdr:spPr bwMode="auto">
        <a:xfrm>
          <a:off x="7962900" y="12268200"/>
          <a:ext cx="3200400" cy="1333499"/>
        </a:xfrm>
        <a:prstGeom prst="rect">
          <a:avLst/>
        </a:prstGeom>
        <a:solidFill>
          <a:srgbClr val="FFFF99"/>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l" rtl="0">
            <a:defRPr sz="1000"/>
          </a:pPr>
          <a:r>
            <a:rPr lang="fr-FR" sz="800" b="1" i="0" u="none" strike="noStrike" baseline="0">
              <a:solidFill>
                <a:srgbClr val="000000"/>
              </a:solidFill>
              <a:latin typeface="Arial"/>
              <a:cs typeface="Arial"/>
            </a:rPr>
            <a:t>Augmentation permanente des loyers – Cas spécifiques des redevance</a:t>
          </a:r>
          <a:r>
            <a:rPr lang="fr-FR" sz="800" b="0" i="0" u="none" strike="noStrike" baseline="0">
              <a:solidFill>
                <a:srgbClr val="000000"/>
              </a:solidFill>
              <a:latin typeface="Arial"/>
              <a:cs typeface="Arial"/>
            </a:rPr>
            <a:t>s</a:t>
          </a:r>
        </a:p>
        <a:p>
          <a:pPr algn="l" rtl="0">
            <a:defRPr sz="1000"/>
          </a:pPr>
          <a:r>
            <a:rPr lang="fr-FR" sz="800" b="0" i="0" u="none" strike="noStrike" baseline="0">
              <a:solidFill>
                <a:srgbClr val="000000"/>
              </a:solidFill>
              <a:latin typeface="Arial"/>
              <a:cs typeface="Arial"/>
            </a:rPr>
            <a:t>S'agissant des opérations pour lesquels les produits locatifs sont issus de redevances représentatives des dépenses supportées par le propriétaire (coût de gestion, entretien, annuités d'emprunts,...), la majoration permanente résultera des annuités supplémentaires induites par les nouveaux emprunts servant au financement de la réhabilitation. Dès lors que ces emprunts seront adossés à la ressource du fond d'épargne (PAM, PHARE...), le porteur du projet devra calculer les annuités en utilisant le taux du livret A long terme (exemple, calcul du taux d'emprunt PAM  = livret A + 0,6% )</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union-habitat.eu/?rubrique230" TargetMode="External"/><Relationship Id="rId13" Type="http://schemas.openxmlformats.org/officeDocument/2006/relationships/hyperlink" Target="https://www.financement-logement-social.logement.gouv.fr/note-technique-du-12-septembre-2024-a2240.html" TargetMode="External"/><Relationship Id="rId18" Type="http://schemas.openxmlformats.org/officeDocument/2006/relationships/printerSettings" Target="../printerSettings/printerSettings1.bin"/><Relationship Id="rId3" Type="http://schemas.openxmlformats.org/officeDocument/2006/relationships/hyperlink" Target="http://eur-lex.europa.eu/LexUriServ/LexUriServ.do?uri=OJ:L:2005:312:0067:0073:FR:PDF" TargetMode="External"/><Relationship Id="rId7" Type="http://schemas.openxmlformats.org/officeDocument/2006/relationships/hyperlink" Target="http://www.legifrance.gouv.fr/affichCode.do;jsessionid=872A9FEFE1E1081F1322A81E25487843.tpdjo12v_1?idSectionTA=LEGISCTA000006177812&amp;cidTexte=LEGITEXT000006074096&amp;dateTexte=20130504" TargetMode="External"/><Relationship Id="rId12" Type="http://schemas.openxmlformats.org/officeDocument/2006/relationships/hyperlink" Target="https://www.financement-logement-social.logement.gouv.fr/note-technique-du-12-septembre-2024-a2240.html" TargetMode="External"/><Relationship Id="rId17" Type="http://schemas.openxmlformats.org/officeDocument/2006/relationships/hyperlink" Target="https://www.financement-logement-social.logement.gouv.fr/note-technique-du-12-septembre-2024-a2240.html" TargetMode="External"/><Relationship Id="rId2" Type="http://schemas.openxmlformats.org/officeDocument/2006/relationships/hyperlink" Target="http://eur-lex.europa.eu/LexUriServ/LexUriServ.do?uri=OJ:L:2012:007:0003:0010:FR:PDF" TargetMode="External"/><Relationship Id="rId16" Type="http://schemas.openxmlformats.org/officeDocument/2006/relationships/hyperlink" Target="https://www.financement-logement-social.logement.gouv.fr/note-technique-du-12-septembre-2024-a2240.html" TargetMode="External"/><Relationship Id="rId1" Type="http://schemas.openxmlformats.org/officeDocument/2006/relationships/hyperlink" Target="http://eur-lex.europa.eu/legal-content/FR/TXT/?uri=celex%3A12012E%2FTXT" TargetMode="External"/><Relationship Id="rId6" Type="http://schemas.openxmlformats.org/officeDocument/2006/relationships/hyperlink" Target="http://www.legifrance.gouv.fr/affichCode.do;jsessionid=872A9FEFE1E1081F1322A81E25487843.tpdjo12v_1?idSectionTA=LEGISCTA000021393713&amp;cidTexte=LEGITEXT000006074096&amp;dateTexte=20130504" TargetMode="External"/><Relationship Id="rId11" Type="http://schemas.openxmlformats.org/officeDocument/2006/relationships/hyperlink" Target="https://www.financement-logement-social.logement.gouv.fr/note-technique-du-12-septembre-2024-a2240.html" TargetMode="External"/><Relationship Id="rId5" Type="http://schemas.openxmlformats.org/officeDocument/2006/relationships/hyperlink" Target="http://www.legifrance.gouv.fr/affichCode.do?idArticle=LEGIARTI000006825180&amp;idSectionTA=LEGISCTA000006159063&amp;cidTexte=LEGITEXT000006074096&amp;dateTexte=20130504" TargetMode="External"/><Relationship Id="rId15" Type="http://schemas.openxmlformats.org/officeDocument/2006/relationships/hyperlink" Target="https://www.financement-logement-social.logement.gouv.fr/note-technique-du-12-septembre-2024-a2240.html" TargetMode="External"/><Relationship Id="rId10" Type="http://schemas.openxmlformats.org/officeDocument/2006/relationships/hyperlink" Target="https://www.financement-logement-social.logement.gouv.fr/note-technique-du-12-septembre-2024-a2240.html" TargetMode="External"/><Relationship Id="rId4" Type="http://schemas.openxmlformats.org/officeDocument/2006/relationships/hyperlink" Target="http://www.legifrance.gouv.fr/affichCode.do?cidTexte=LEGITEXT000006074096" TargetMode="External"/><Relationship Id="rId9" Type="http://schemas.openxmlformats.org/officeDocument/2006/relationships/hyperlink" Target="https://www.financement-logement-social.logement.gouv.fr/note-technique-du-12-septembre-2024-a2240.html" TargetMode="External"/><Relationship Id="rId14" Type="http://schemas.openxmlformats.org/officeDocument/2006/relationships/hyperlink" Target="https://www.financement-logement-social.logement.gouv.fr/note-technique-du-12-septembre-2024-a2240.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financement-logement-social.logement.gouv.fr/note-technique-du-12-septembre-2024-a2240.html" TargetMode="External"/><Relationship Id="rId2" Type="http://schemas.openxmlformats.org/officeDocument/2006/relationships/hyperlink" Target="http://union-habitat.eu/?rubrique230" TargetMode="External"/><Relationship Id="rId1" Type="http://schemas.openxmlformats.org/officeDocument/2006/relationships/hyperlink" Target="http://eur-lex.europa.eu/LexUriServ/LexUriServ.do?uri=OJ:L:2012:007:0003:0010:FR:PDF" TargetMode="Externa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88CA6-082A-40F4-B050-956E622A915A}">
  <dimension ref="A1:AA199"/>
  <sheetViews>
    <sheetView tabSelected="1" defaultGridColor="0" view="pageBreakPreview" topLeftCell="A44" colorId="31" zoomScaleSheetLayoutView="100" workbookViewId="0">
      <selection activeCell="J26" sqref="J26"/>
    </sheetView>
  </sheetViews>
  <sheetFormatPr baseColWidth="10" defaultRowHeight="12.75" customHeight="1" x14ac:dyDescent="0.25"/>
  <cols>
    <col min="1" max="1" width="16.5546875" customWidth="1"/>
    <col min="2" max="2" width="12.6640625" customWidth="1"/>
    <col min="3" max="4" width="13.88671875" customWidth="1"/>
    <col min="5" max="5" width="20" customWidth="1"/>
    <col min="6" max="6" width="12.6640625" customWidth="1"/>
    <col min="7" max="7" width="24.6640625" customWidth="1"/>
    <col min="8" max="8" width="14.33203125" customWidth="1"/>
    <col min="9" max="9" width="12.6640625" customWidth="1"/>
    <col min="10" max="10" width="33.5546875" customWidth="1"/>
    <col min="11" max="11" width="16.5546875" customWidth="1"/>
    <col min="12" max="12" width="56.5546875" customWidth="1"/>
    <col min="13" max="27" width="11" style="1" customWidth="1"/>
  </cols>
  <sheetData>
    <row r="1" spans="1:27" s="2" customFormat="1" ht="11.25" customHeight="1" x14ac:dyDescent="0.2">
      <c r="A1" s="500" t="s">
        <v>440</v>
      </c>
      <c r="B1" s="500"/>
      <c r="M1" s="3"/>
      <c r="N1" s="3"/>
      <c r="O1" s="3"/>
      <c r="P1" s="3"/>
      <c r="Q1" s="3"/>
      <c r="R1" s="3"/>
      <c r="S1" s="3"/>
      <c r="T1" s="3"/>
      <c r="U1" s="3"/>
      <c r="V1" s="3"/>
      <c r="W1" s="3"/>
      <c r="X1" s="3"/>
      <c r="Y1" s="3"/>
      <c r="Z1" s="3"/>
      <c r="AA1" s="3"/>
    </row>
    <row r="2" spans="1:27" ht="12.75" customHeight="1" x14ac:dyDescent="0.25">
      <c r="A2" s="501" t="s">
        <v>0</v>
      </c>
      <c r="B2" s="501"/>
      <c r="C2" s="501"/>
      <c r="D2" s="501"/>
      <c r="E2" s="501"/>
      <c r="F2" s="501"/>
      <c r="G2" s="501"/>
      <c r="H2" s="501"/>
      <c r="I2" s="501"/>
      <c r="J2" s="501"/>
      <c r="K2" s="501"/>
    </row>
    <row r="3" spans="1:27" ht="12.75" customHeight="1" x14ac:dyDescent="0.25">
      <c r="A3" s="4"/>
      <c r="B3" s="5"/>
      <c r="C3" s="5"/>
      <c r="D3" s="5"/>
      <c r="E3" s="6"/>
      <c r="F3" s="6"/>
      <c r="G3" s="6"/>
      <c r="H3" s="6"/>
      <c r="I3" s="6"/>
      <c r="J3" s="6"/>
      <c r="K3" s="7"/>
    </row>
    <row r="4" spans="1:27" s="8" customFormat="1" ht="12.75" customHeight="1" x14ac:dyDescent="0.25">
      <c r="A4" s="502" t="s">
        <v>1</v>
      </c>
      <c r="B4" s="502"/>
      <c r="C4" s="502"/>
      <c r="D4" s="502"/>
      <c r="E4" s="502"/>
      <c r="F4" s="502"/>
      <c r="G4" s="502"/>
      <c r="H4" s="502"/>
      <c r="I4" s="502"/>
      <c r="J4" s="502"/>
      <c r="K4" s="502"/>
      <c r="M4" s="9"/>
      <c r="N4" s="9"/>
      <c r="O4" s="9"/>
      <c r="P4" s="9"/>
      <c r="Q4" s="9"/>
      <c r="R4" s="9"/>
      <c r="S4" s="9"/>
      <c r="T4" s="9"/>
      <c r="U4" s="9"/>
      <c r="V4" s="9"/>
      <c r="W4" s="9"/>
      <c r="X4" s="9"/>
      <c r="Y4" s="9"/>
      <c r="Z4" s="9"/>
      <c r="AA4" s="9"/>
    </row>
    <row r="5" spans="1:27" s="8" customFormat="1" ht="12.75" customHeight="1" x14ac:dyDescent="0.25">
      <c r="A5" s="503" t="s">
        <v>2</v>
      </c>
      <c r="B5" s="503"/>
      <c r="C5" s="503"/>
      <c r="D5" s="503"/>
      <c r="E5" s="503"/>
      <c r="F5" s="503"/>
      <c r="G5" s="503"/>
      <c r="H5" s="503"/>
      <c r="I5" s="503"/>
      <c r="J5" s="503"/>
      <c r="K5" s="503"/>
      <c r="M5" s="9"/>
      <c r="N5" s="9"/>
      <c r="O5" s="9"/>
      <c r="P5" s="9"/>
      <c r="Q5" s="9"/>
      <c r="R5" s="9"/>
      <c r="S5" s="9"/>
      <c r="T5" s="9"/>
      <c r="U5" s="9"/>
      <c r="V5" s="9"/>
      <c r="W5" s="9"/>
      <c r="X5" s="9"/>
      <c r="Y5" s="9"/>
      <c r="Z5" s="9"/>
      <c r="AA5" s="9"/>
    </row>
    <row r="6" spans="1:27" s="8" customFormat="1" ht="12.75" customHeight="1" x14ac:dyDescent="0.25">
      <c r="A6" s="10"/>
      <c r="B6" s="11"/>
      <c r="C6" s="11"/>
      <c r="D6" s="11"/>
      <c r="E6" s="11"/>
      <c r="F6" s="11" t="s">
        <v>3</v>
      </c>
      <c r="G6" s="11"/>
      <c r="H6" s="11"/>
      <c r="I6" s="11"/>
      <c r="J6" s="11"/>
      <c r="K6" s="11"/>
      <c r="M6" s="9"/>
      <c r="N6" s="9"/>
      <c r="O6" s="9"/>
      <c r="P6" s="9"/>
      <c r="Q6" s="9"/>
      <c r="R6" s="9"/>
      <c r="S6" s="9"/>
      <c r="T6" s="9"/>
      <c r="U6" s="9"/>
      <c r="V6" s="9"/>
      <c r="W6" s="9"/>
      <c r="X6" s="9"/>
      <c r="Y6" s="9"/>
      <c r="Z6" s="9"/>
      <c r="AA6" s="9"/>
    </row>
    <row r="7" spans="1:27" s="8" customFormat="1" ht="12.75" customHeight="1" x14ac:dyDescent="0.25">
      <c r="A7" s="10" t="s">
        <v>4</v>
      </c>
      <c r="B7" s="11"/>
      <c r="C7" s="11"/>
      <c r="D7" s="11"/>
      <c r="E7" s="11"/>
      <c r="F7" s="11"/>
      <c r="G7" s="11"/>
      <c r="H7" s="11"/>
      <c r="I7" s="11"/>
      <c r="J7" s="11"/>
      <c r="K7" s="11"/>
      <c r="M7" s="9"/>
      <c r="N7" s="9"/>
      <c r="O7" s="9"/>
      <c r="P7" s="9"/>
      <c r="Q7" s="9"/>
      <c r="R7" s="9"/>
      <c r="S7" s="9"/>
      <c r="T7" s="9"/>
      <c r="U7" s="9"/>
      <c r="V7" s="9"/>
      <c r="W7" s="9"/>
      <c r="X7" s="9"/>
      <c r="Y7" s="9"/>
      <c r="Z7" s="9"/>
      <c r="AA7" s="9"/>
    </row>
    <row r="8" spans="1:27" s="8" customFormat="1" ht="12.75" customHeight="1" x14ac:dyDescent="0.25">
      <c r="A8" s="12" t="s">
        <v>5</v>
      </c>
      <c r="B8" s="13" t="s">
        <v>6</v>
      </c>
      <c r="C8" s="13"/>
      <c r="D8" s="11"/>
      <c r="E8" s="11"/>
      <c r="F8" s="11"/>
      <c r="G8" s="14"/>
      <c r="H8" s="11"/>
      <c r="I8" s="11"/>
      <c r="J8" s="11"/>
      <c r="K8" s="11"/>
      <c r="M8" s="9"/>
      <c r="N8" s="9"/>
      <c r="O8" s="9"/>
      <c r="P8" s="9"/>
      <c r="Q8" s="9"/>
      <c r="R8" s="9"/>
      <c r="S8" s="9"/>
      <c r="T8" s="9"/>
      <c r="U8" s="9"/>
      <c r="V8" s="9"/>
      <c r="W8" s="9"/>
      <c r="X8" s="9"/>
      <c r="Y8" s="9"/>
      <c r="Z8" s="9"/>
      <c r="AA8" s="9"/>
    </row>
    <row r="9" spans="1:27" s="8" customFormat="1" ht="12.75" customHeight="1" x14ac:dyDescent="0.25">
      <c r="A9" s="12" t="s">
        <v>7</v>
      </c>
      <c r="B9" s="13" t="s">
        <v>8</v>
      </c>
      <c r="C9" s="13"/>
      <c r="D9" s="11"/>
      <c r="E9" s="11"/>
      <c r="F9" s="11"/>
      <c r="G9" s="11"/>
      <c r="H9" s="11"/>
      <c r="I9" s="11"/>
      <c r="J9" s="11"/>
      <c r="K9" s="11"/>
      <c r="M9" s="9"/>
      <c r="N9" s="9"/>
      <c r="O9" s="9"/>
      <c r="P9" s="9"/>
      <c r="Q9" s="9"/>
      <c r="R9" s="9"/>
      <c r="S9" s="9"/>
      <c r="T9" s="9"/>
      <c r="U9" s="9"/>
      <c r="V9" s="9"/>
      <c r="W9" s="9"/>
      <c r="X9" s="9"/>
      <c r="Y9" s="9"/>
      <c r="Z9" s="9"/>
      <c r="AA9" s="9"/>
    </row>
    <row r="10" spans="1:27" s="8" customFormat="1" ht="12.75" customHeight="1" x14ac:dyDescent="0.25">
      <c r="A10" s="12" t="s">
        <v>9</v>
      </c>
      <c r="B10" s="13" t="s">
        <v>10</v>
      </c>
      <c r="C10" s="13"/>
      <c r="D10" s="11"/>
      <c r="E10" s="11"/>
      <c r="F10" s="11"/>
      <c r="G10" s="11"/>
      <c r="H10" s="11"/>
      <c r="I10" s="11"/>
      <c r="J10" s="11"/>
      <c r="K10" s="11"/>
      <c r="M10" s="9"/>
      <c r="N10" s="9"/>
      <c r="O10" s="9"/>
      <c r="P10" s="9"/>
      <c r="Q10" s="9"/>
      <c r="R10" s="9"/>
      <c r="S10" s="9"/>
      <c r="T10" s="9"/>
      <c r="U10" s="9"/>
      <c r="V10" s="9"/>
      <c r="W10" s="9"/>
      <c r="X10" s="9"/>
      <c r="Y10" s="9"/>
      <c r="Z10" s="9"/>
      <c r="AA10" s="9"/>
    </row>
    <row r="11" spans="1:27" s="8" customFormat="1" ht="12.75" customHeight="1" x14ac:dyDescent="0.25">
      <c r="A11" s="15"/>
      <c r="C11" s="8" t="s">
        <v>4</v>
      </c>
      <c r="M11" s="9"/>
      <c r="N11" s="9"/>
      <c r="O11" s="9"/>
      <c r="P11" s="9"/>
      <c r="Q11" s="9"/>
      <c r="R11" s="9"/>
      <c r="S11" s="9"/>
      <c r="T11" s="9"/>
      <c r="U11" s="9"/>
      <c r="V11" s="9"/>
      <c r="W11" s="9"/>
      <c r="X11" s="9"/>
      <c r="Y11" s="9"/>
      <c r="Z11" s="9"/>
      <c r="AA11" s="9"/>
    </row>
    <row r="12" spans="1:27" s="8" customFormat="1" ht="11.25" customHeight="1" x14ac:dyDescent="0.2">
      <c r="A12" s="8" t="s">
        <v>11</v>
      </c>
      <c r="M12" s="9"/>
      <c r="N12" s="9"/>
      <c r="O12" s="9"/>
      <c r="P12" s="9"/>
      <c r="Q12" s="9"/>
      <c r="R12" s="9"/>
      <c r="S12" s="9"/>
      <c r="T12" s="9"/>
      <c r="U12" s="9"/>
      <c r="V12" s="9"/>
      <c r="W12" s="9"/>
      <c r="X12" s="9"/>
      <c r="Y12" s="9"/>
      <c r="Z12" s="9"/>
      <c r="AA12" s="9"/>
    </row>
    <row r="13" spans="1:27" s="8" customFormat="1" ht="11.25" customHeight="1" x14ac:dyDescent="0.2">
      <c r="M13" s="9"/>
      <c r="N13" s="9"/>
      <c r="O13" s="9"/>
      <c r="P13" s="9"/>
      <c r="Q13" s="9"/>
      <c r="R13" s="9"/>
      <c r="S13" s="9"/>
      <c r="T13" s="9"/>
      <c r="U13" s="9"/>
      <c r="V13" s="9"/>
      <c r="W13" s="9"/>
      <c r="X13" s="9"/>
      <c r="Y13" s="9"/>
      <c r="Z13" s="9"/>
      <c r="AA13" s="9"/>
    </row>
    <row r="14" spans="1:27" s="8" customFormat="1" ht="12.75" customHeight="1" x14ac:dyDescent="0.25">
      <c r="A14" s="15"/>
      <c r="B14" s="8" t="s">
        <v>12</v>
      </c>
      <c r="C14" s="16" t="s">
        <v>13</v>
      </c>
      <c r="D14" s="8" t="s">
        <v>14</v>
      </c>
      <c r="M14" s="9"/>
      <c r="N14" s="9"/>
      <c r="O14" s="9"/>
      <c r="P14" s="9"/>
      <c r="Q14" s="9"/>
      <c r="R14" s="9"/>
      <c r="S14" s="9"/>
      <c r="T14" s="9"/>
      <c r="U14" s="9"/>
      <c r="V14" s="9"/>
      <c r="W14" s="9"/>
      <c r="X14" s="9"/>
      <c r="Y14" s="9"/>
      <c r="Z14" s="9"/>
      <c r="AA14" s="9"/>
    </row>
    <row r="15" spans="1:27" s="17" customFormat="1" ht="11.25" customHeight="1" x14ac:dyDescent="0.2">
      <c r="C15" s="18"/>
      <c r="D15" s="19" t="s">
        <v>15</v>
      </c>
      <c r="M15" s="20"/>
      <c r="N15" s="20"/>
      <c r="O15" s="20"/>
      <c r="P15" s="20"/>
      <c r="Q15" s="20"/>
      <c r="R15" s="20"/>
      <c r="S15" s="20"/>
      <c r="T15" s="20"/>
      <c r="U15" s="20"/>
      <c r="V15" s="20"/>
      <c r="W15" s="20"/>
      <c r="X15" s="20"/>
      <c r="Y15" s="20"/>
      <c r="Z15" s="20"/>
      <c r="AA15" s="20"/>
    </row>
    <row r="16" spans="1:27" s="21" customFormat="1" ht="11.25" customHeight="1" x14ac:dyDescent="0.2">
      <c r="C16" s="18"/>
      <c r="D16" s="21" t="s">
        <v>16</v>
      </c>
      <c r="M16" s="22"/>
      <c r="N16" s="22"/>
      <c r="O16" s="22"/>
      <c r="P16" s="22"/>
      <c r="Q16" s="22"/>
      <c r="R16" s="22"/>
      <c r="S16" s="22"/>
      <c r="T16" s="22"/>
      <c r="U16" s="22"/>
      <c r="V16" s="22"/>
      <c r="W16" s="22"/>
      <c r="X16" s="22"/>
      <c r="Y16" s="22"/>
      <c r="Z16" s="22"/>
      <c r="AA16" s="22"/>
    </row>
    <row r="17" spans="1:27" s="21" customFormat="1" ht="11.25" customHeight="1" x14ac:dyDescent="0.2">
      <c r="C17" s="18"/>
      <c r="D17" s="21" t="s">
        <v>17</v>
      </c>
      <c r="M17" s="22"/>
      <c r="N17" s="22"/>
      <c r="O17" s="22"/>
      <c r="P17" s="22"/>
      <c r="Q17" s="22"/>
      <c r="R17" s="22"/>
      <c r="S17" s="22"/>
      <c r="T17" s="22"/>
      <c r="U17" s="22"/>
      <c r="V17" s="22"/>
      <c r="W17" s="22"/>
      <c r="X17" s="22"/>
      <c r="Y17" s="22"/>
      <c r="Z17" s="22"/>
      <c r="AA17" s="22"/>
    </row>
    <row r="18" spans="1:27" s="21" customFormat="1" ht="11.25" customHeight="1" x14ac:dyDescent="0.2">
      <c r="C18" s="18"/>
      <c r="M18" s="22"/>
      <c r="N18" s="22"/>
      <c r="O18" s="22"/>
      <c r="P18" s="22"/>
      <c r="Q18" s="22"/>
      <c r="R18" s="22"/>
      <c r="S18" s="22"/>
      <c r="T18" s="22"/>
      <c r="U18" s="22"/>
      <c r="V18" s="22"/>
      <c r="W18" s="22"/>
      <c r="X18" s="22"/>
      <c r="Y18" s="22"/>
      <c r="Z18" s="22"/>
      <c r="AA18" s="22"/>
    </row>
    <row r="19" spans="1:27" s="8" customFormat="1" ht="12.75" customHeight="1" x14ac:dyDescent="0.25">
      <c r="A19" s="23"/>
      <c r="B19" s="8" t="s">
        <v>18</v>
      </c>
      <c r="C19" s="16" t="s">
        <v>19</v>
      </c>
      <c r="D19" s="8" t="s">
        <v>20</v>
      </c>
      <c r="M19" s="9"/>
      <c r="N19" s="9"/>
      <c r="O19" s="9"/>
      <c r="P19" s="9"/>
      <c r="Q19" s="9"/>
      <c r="R19" s="9"/>
      <c r="S19" s="9"/>
      <c r="T19" s="9"/>
      <c r="U19" s="9"/>
      <c r="V19" s="9"/>
      <c r="W19" s="9"/>
      <c r="X19" s="9"/>
      <c r="Y19" s="9"/>
      <c r="Z19" s="9"/>
      <c r="AA19" s="9"/>
    </row>
    <row r="20" spans="1:27" s="8" customFormat="1" ht="12.75" customHeight="1" x14ac:dyDescent="0.25">
      <c r="A20" s="23"/>
      <c r="C20" s="16"/>
      <c r="D20" s="21" t="s">
        <v>21</v>
      </c>
      <c r="M20" s="9"/>
      <c r="N20" s="9"/>
      <c r="O20" s="9"/>
      <c r="P20" s="9"/>
      <c r="Q20" s="9"/>
      <c r="R20" s="9"/>
      <c r="S20" s="9"/>
      <c r="T20" s="9"/>
      <c r="U20" s="9"/>
      <c r="V20" s="9"/>
      <c r="W20" s="9"/>
      <c r="X20" s="9"/>
      <c r="Y20" s="9"/>
      <c r="Z20" s="9"/>
      <c r="AA20" s="9"/>
    </row>
    <row r="21" spans="1:27" s="8" customFormat="1" ht="12.75" customHeight="1" x14ac:dyDescent="0.25">
      <c r="A21" s="23"/>
      <c r="C21" s="24" t="s">
        <v>22</v>
      </c>
      <c r="D21" s="8" t="s">
        <v>23</v>
      </c>
      <c r="M21" s="9"/>
      <c r="N21" s="9"/>
      <c r="O21" s="9"/>
      <c r="P21" s="9"/>
      <c r="Q21" s="9"/>
      <c r="R21" s="9"/>
      <c r="S21" s="9"/>
      <c r="T21" s="9"/>
      <c r="U21" s="9"/>
      <c r="V21" s="9"/>
      <c r="W21" s="9"/>
      <c r="X21" s="9"/>
      <c r="Y21" s="9"/>
      <c r="Z21" s="9"/>
      <c r="AA21" s="9"/>
    </row>
    <row r="22" spans="1:27" s="8" customFormat="1" ht="12.75" customHeight="1" x14ac:dyDescent="0.25">
      <c r="A22" s="23"/>
      <c r="C22" s="16"/>
      <c r="M22" s="9"/>
      <c r="N22" s="9"/>
      <c r="O22" s="9"/>
      <c r="P22" s="9"/>
      <c r="Q22" s="9"/>
      <c r="R22" s="9"/>
      <c r="S22" s="9"/>
      <c r="T22" s="9"/>
      <c r="U22" s="9"/>
      <c r="V22" s="9"/>
      <c r="W22" s="9"/>
      <c r="X22" s="9"/>
      <c r="Y22" s="9"/>
      <c r="Z22" s="9"/>
      <c r="AA22" s="9"/>
    </row>
    <row r="23" spans="1:27" s="8" customFormat="1" ht="12.75" customHeight="1" x14ac:dyDescent="0.25">
      <c r="A23" s="23"/>
      <c r="B23" s="8" t="s">
        <v>24</v>
      </c>
      <c r="C23" s="16"/>
      <c r="M23" s="9"/>
      <c r="N23" s="9"/>
      <c r="O23" s="9"/>
      <c r="P23" s="9"/>
      <c r="Q23" s="9"/>
      <c r="R23" s="9"/>
      <c r="S23" s="9"/>
      <c r="T23" s="9"/>
      <c r="U23" s="9"/>
      <c r="V23" s="9"/>
      <c r="W23" s="9"/>
      <c r="X23" s="9"/>
      <c r="Y23" s="9"/>
      <c r="Z23" s="9"/>
      <c r="AA23" s="9"/>
    </row>
    <row r="24" spans="1:27" s="8" customFormat="1" ht="12.75" customHeight="1" x14ac:dyDescent="0.25">
      <c r="A24" s="23"/>
      <c r="C24" s="21" t="s">
        <v>25</v>
      </c>
      <c r="D24" s="21" t="s">
        <v>26</v>
      </c>
      <c r="E24" s="21"/>
      <c r="F24" s="21"/>
      <c r="G24" s="21"/>
      <c r="M24" s="9"/>
      <c r="N24" s="9"/>
      <c r="O24" s="9"/>
      <c r="P24" s="9"/>
      <c r="Q24" s="9"/>
      <c r="R24" s="9"/>
      <c r="S24" s="9"/>
      <c r="T24" s="9"/>
      <c r="U24" s="9"/>
      <c r="V24" s="9"/>
      <c r="W24" s="9"/>
      <c r="X24" s="9"/>
      <c r="Y24" s="9"/>
      <c r="Z24" s="9"/>
      <c r="AA24" s="9"/>
    </row>
    <row r="25" spans="1:27" s="8" customFormat="1" ht="12.75" customHeight="1" x14ac:dyDescent="0.25">
      <c r="A25" s="23"/>
      <c r="B25" s="8" t="s">
        <v>4</v>
      </c>
      <c r="C25" s="21" t="s">
        <v>27</v>
      </c>
      <c r="D25" s="21" t="s">
        <v>28</v>
      </c>
      <c r="E25" s="21"/>
      <c r="F25" s="21"/>
      <c r="G25" s="21"/>
      <c r="M25" s="9"/>
      <c r="N25" s="9"/>
      <c r="O25" s="9"/>
      <c r="P25" s="9"/>
      <c r="Q25" s="9"/>
      <c r="R25" s="9"/>
      <c r="S25" s="9"/>
      <c r="T25" s="9"/>
      <c r="U25" s="9"/>
      <c r="V25" s="9"/>
      <c r="W25" s="9"/>
      <c r="X25" s="9"/>
      <c r="Y25" s="9"/>
      <c r="Z25" s="9"/>
      <c r="AA25" s="9"/>
    </row>
    <row r="26" spans="1:27" s="8" customFormat="1" ht="12.75" customHeight="1" x14ac:dyDescent="0.25">
      <c r="A26" s="23" t="s">
        <v>4</v>
      </c>
      <c r="C26" s="21" t="s">
        <v>29</v>
      </c>
      <c r="D26" s="21" t="s">
        <v>30</v>
      </c>
      <c r="E26" s="21"/>
      <c r="F26" s="21"/>
      <c r="G26" s="21"/>
      <c r="M26" s="9"/>
      <c r="N26" s="9"/>
      <c r="O26" s="9"/>
      <c r="P26" s="9"/>
      <c r="Q26" s="9"/>
      <c r="R26" s="9"/>
      <c r="S26" s="9"/>
      <c r="T26" s="9"/>
      <c r="U26" s="9"/>
      <c r="V26" s="9"/>
      <c r="W26" s="9"/>
      <c r="X26" s="9"/>
      <c r="Y26" s="9"/>
      <c r="Z26" s="9"/>
      <c r="AA26" s="9"/>
    </row>
    <row r="27" spans="1:27" s="8" customFormat="1" ht="12.75" customHeight="1" x14ac:dyDescent="0.25">
      <c r="A27" s="23"/>
      <c r="C27" s="21" t="s">
        <v>31</v>
      </c>
      <c r="D27" s="21" t="s">
        <v>32</v>
      </c>
      <c r="E27" s="21"/>
      <c r="F27" s="21"/>
      <c r="G27" s="21"/>
      <c r="M27" s="9"/>
      <c r="N27" s="9"/>
      <c r="O27" s="9"/>
      <c r="P27" s="9"/>
      <c r="Q27" s="9"/>
      <c r="R27" s="9"/>
      <c r="S27" s="9"/>
      <c r="T27" s="9"/>
      <c r="U27" s="9"/>
      <c r="V27" s="9"/>
      <c r="W27" s="9"/>
      <c r="X27" s="9"/>
      <c r="Y27" s="9"/>
      <c r="Z27" s="9"/>
      <c r="AA27" s="9"/>
    </row>
    <row r="28" spans="1:27" s="8" customFormat="1" ht="12.75" customHeight="1" x14ac:dyDescent="0.25">
      <c r="A28" s="23"/>
      <c r="C28" s="21" t="s">
        <v>33</v>
      </c>
      <c r="D28" s="21" t="s">
        <v>34</v>
      </c>
      <c r="E28" s="21"/>
      <c r="F28" s="21"/>
      <c r="G28" s="21"/>
      <c r="M28" s="9"/>
      <c r="N28" s="9"/>
      <c r="O28" s="9"/>
      <c r="P28" s="9"/>
      <c r="Q28" s="9"/>
      <c r="R28" s="9"/>
      <c r="S28" s="9"/>
      <c r="T28" s="9"/>
      <c r="U28" s="9"/>
      <c r="V28" s="9"/>
      <c r="W28" s="9"/>
      <c r="X28" s="9"/>
      <c r="Y28" s="9"/>
      <c r="Z28" s="9"/>
      <c r="AA28" s="9"/>
    </row>
    <row r="29" spans="1:27" s="8" customFormat="1" ht="12.75" customHeight="1" x14ac:dyDescent="0.25">
      <c r="A29" s="23"/>
      <c r="C29" s="21"/>
      <c r="D29" s="21"/>
      <c r="E29" s="21"/>
      <c r="F29" s="21"/>
      <c r="G29" s="21"/>
      <c r="M29" s="9"/>
      <c r="N29" s="9"/>
      <c r="O29" s="9"/>
      <c r="P29" s="9"/>
      <c r="Q29" s="9"/>
      <c r="R29" s="9"/>
      <c r="S29" s="9"/>
      <c r="T29" s="9"/>
      <c r="U29" s="9"/>
      <c r="V29" s="9"/>
      <c r="W29" s="9"/>
      <c r="X29" s="9"/>
      <c r="Y29" s="9"/>
      <c r="Z29" s="9"/>
      <c r="AA29" s="9"/>
    </row>
    <row r="30" spans="1:27" s="8" customFormat="1" ht="12.75" customHeight="1" x14ac:dyDescent="0.25">
      <c r="A30" s="23"/>
      <c r="B30" s="8" t="s">
        <v>35</v>
      </c>
      <c r="C30" s="21"/>
      <c r="D30" s="21"/>
      <c r="E30" s="21"/>
      <c r="F30" s="21"/>
      <c r="G30" s="21"/>
      <c r="M30" s="9"/>
      <c r="N30" s="9"/>
      <c r="O30" s="9"/>
      <c r="P30" s="9"/>
      <c r="Q30" s="9"/>
      <c r="R30" s="9"/>
      <c r="S30" s="9"/>
      <c r="T30" s="9"/>
      <c r="U30" s="9"/>
      <c r="V30" s="9"/>
      <c r="W30" s="9"/>
      <c r="X30" s="9"/>
      <c r="Y30" s="9"/>
      <c r="Z30" s="9"/>
      <c r="AA30" s="9"/>
    </row>
    <row r="31" spans="1:27" s="8" customFormat="1" ht="12.75" customHeight="1" x14ac:dyDescent="0.25">
      <c r="A31" s="23"/>
      <c r="B31" s="8" t="s">
        <v>4</v>
      </c>
      <c r="C31" s="25" t="s">
        <v>36</v>
      </c>
      <c r="D31" s="21" t="s">
        <v>37</v>
      </c>
      <c r="E31" s="21"/>
      <c r="F31" s="21"/>
      <c r="G31" s="21"/>
      <c r="H31" s="21"/>
      <c r="M31" s="9"/>
      <c r="N31" s="9"/>
      <c r="O31" s="9"/>
      <c r="P31" s="9"/>
      <c r="Q31" s="9"/>
      <c r="R31" s="9"/>
      <c r="S31" s="9"/>
      <c r="T31" s="9"/>
      <c r="U31" s="9"/>
      <c r="V31" s="9"/>
      <c r="W31" s="9"/>
      <c r="X31" s="9"/>
      <c r="Y31" s="9"/>
      <c r="Z31" s="9"/>
      <c r="AA31" s="9"/>
    </row>
    <row r="32" spans="1:27" s="8" customFormat="1" ht="12.75" customHeight="1" x14ac:dyDescent="0.25">
      <c r="A32" s="23"/>
      <c r="C32" s="25" t="s">
        <v>38</v>
      </c>
      <c r="D32" s="21" t="s">
        <v>39</v>
      </c>
      <c r="E32" s="21"/>
      <c r="F32" s="21"/>
      <c r="G32" s="21"/>
      <c r="H32" s="21"/>
      <c r="M32" s="9"/>
      <c r="N32" s="9"/>
      <c r="O32" s="9"/>
      <c r="P32" s="9"/>
      <c r="Q32" s="9"/>
      <c r="R32" s="9"/>
      <c r="S32" s="9"/>
      <c r="T32" s="9"/>
      <c r="U32" s="9"/>
      <c r="V32" s="9"/>
      <c r="W32" s="9"/>
      <c r="X32" s="9"/>
      <c r="Y32" s="9"/>
      <c r="Z32" s="9"/>
      <c r="AA32" s="9"/>
    </row>
    <row r="33" spans="1:27" s="8" customFormat="1" ht="12.75" customHeight="1" x14ac:dyDescent="0.25">
      <c r="A33" s="23"/>
      <c r="C33" s="25" t="s">
        <v>40</v>
      </c>
      <c r="D33" s="21" t="s">
        <v>41</v>
      </c>
      <c r="E33" s="21"/>
      <c r="F33" s="21"/>
      <c r="G33" s="21"/>
      <c r="H33" s="21"/>
      <c r="M33" s="9"/>
      <c r="N33" s="9"/>
      <c r="O33" s="9"/>
      <c r="P33" s="9"/>
      <c r="Q33" s="9"/>
      <c r="R33" s="9"/>
      <c r="S33" s="9"/>
      <c r="T33" s="9"/>
      <c r="U33" s="9"/>
      <c r="V33" s="9"/>
      <c r="W33" s="9"/>
      <c r="X33" s="9"/>
      <c r="Y33" s="9"/>
      <c r="Z33" s="9"/>
      <c r="AA33" s="9"/>
    </row>
    <row r="34" spans="1:27" s="8" customFormat="1" ht="12.75" customHeight="1" x14ac:dyDescent="0.25">
      <c r="A34" s="23"/>
      <c r="C34" s="25" t="s">
        <v>42</v>
      </c>
      <c r="D34" s="21" t="s">
        <v>43</v>
      </c>
      <c r="E34" s="21"/>
      <c r="F34" s="21"/>
      <c r="G34" s="21"/>
      <c r="H34" s="21"/>
      <c r="M34" s="9"/>
      <c r="N34" s="9"/>
      <c r="O34" s="9"/>
      <c r="P34" s="9"/>
      <c r="Q34" s="9"/>
      <c r="R34" s="9"/>
      <c r="S34" s="9"/>
      <c r="T34" s="9"/>
      <c r="U34" s="9"/>
      <c r="V34" s="9"/>
      <c r="W34" s="9"/>
      <c r="X34" s="9"/>
      <c r="Y34" s="9"/>
      <c r="Z34" s="9"/>
      <c r="AA34" s="9"/>
    </row>
    <row r="35" spans="1:27" s="8" customFormat="1" ht="12.75" customHeight="1" x14ac:dyDescent="0.25">
      <c r="A35" s="23"/>
      <c r="C35" s="26" t="s">
        <v>44</v>
      </c>
      <c r="D35" s="21" t="s">
        <v>45</v>
      </c>
      <c r="E35" s="21"/>
      <c r="F35" s="21"/>
      <c r="M35" s="9"/>
      <c r="N35" s="9"/>
      <c r="O35" s="9"/>
      <c r="P35" s="9"/>
      <c r="Q35" s="9"/>
      <c r="R35" s="9"/>
      <c r="S35" s="9"/>
      <c r="T35" s="9"/>
      <c r="U35" s="9"/>
      <c r="V35" s="9"/>
      <c r="W35" s="9"/>
      <c r="X35" s="9"/>
      <c r="Y35" s="9"/>
      <c r="Z35" s="9"/>
      <c r="AA35" s="9"/>
    </row>
    <row r="36" spans="1:27" s="8" customFormat="1" ht="12.75" customHeight="1" x14ac:dyDescent="0.25">
      <c r="A36" s="15"/>
      <c r="C36" s="21"/>
      <c r="D36" s="21"/>
      <c r="E36" s="21"/>
      <c r="F36" s="21"/>
      <c r="G36" s="21"/>
      <c r="M36" s="9"/>
      <c r="N36" s="9"/>
      <c r="O36" s="9"/>
      <c r="P36" s="9"/>
      <c r="Q36" s="9"/>
      <c r="R36" s="9"/>
      <c r="S36" s="9"/>
      <c r="T36" s="9"/>
      <c r="U36" s="9"/>
      <c r="V36" s="9"/>
      <c r="W36" s="9"/>
      <c r="X36" s="9"/>
      <c r="Y36" s="9"/>
      <c r="Z36" s="9"/>
      <c r="AA36" s="9"/>
    </row>
    <row r="37" spans="1:27" s="8" customFormat="1" ht="11.25" customHeight="1" x14ac:dyDescent="0.2">
      <c r="A37" s="8" t="s">
        <v>46</v>
      </c>
      <c r="C37" s="21"/>
      <c r="D37" s="21"/>
      <c r="E37" s="21"/>
      <c r="F37" s="21"/>
      <c r="G37" s="21"/>
      <c r="M37" s="9"/>
      <c r="N37" s="9"/>
      <c r="O37" s="9"/>
      <c r="P37" s="9"/>
      <c r="Q37" s="9"/>
      <c r="R37" s="9"/>
      <c r="S37" s="9"/>
      <c r="T37" s="9"/>
      <c r="U37" s="9"/>
      <c r="V37" s="9"/>
      <c r="W37" s="9"/>
      <c r="X37" s="9"/>
      <c r="Y37" s="9"/>
      <c r="Z37" s="9"/>
      <c r="AA37" s="9"/>
    </row>
    <row r="38" spans="1:27" s="8" customFormat="1" ht="12.75" customHeight="1" x14ac:dyDescent="0.25">
      <c r="A38" s="15"/>
      <c r="B38" s="21" t="s">
        <v>47</v>
      </c>
      <c r="C38" s="21"/>
      <c r="D38" s="21"/>
      <c r="E38" s="21"/>
      <c r="F38" s="21"/>
      <c r="G38" s="21"/>
      <c r="H38" s="21"/>
      <c r="I38" s="21"/>
      <c r="M38" s="9"/>
      <c r="N38" s="9"/>
      <c r="O38" s="9"/>
      <c r="P38" s="9"/>
      <c r="Q38" s="9"/>
      <c r="R38" s="9"/>
      <c r="S38" s="9"/>
      <c r="T38" s="9"/>
      <c r="U38" s="9"/>
      <c r="V38" s="9"/>
      <c r="W38" s="9"/>
      <c r="X38" s="9"/>
      <c r="Y38" s="9"/>
      <c r="Z38" s="9"/>
      <c r="AA38" s="9"/>
    </row>
    <row r="39" spans="1:27" s="8" customFormat="1" ht="12.75" customHeight="1" x14ac:dyDescent="0.25">
      <c r="A39" s="15"/>
      <c r="B39" s="21" t="s">
        <v>48</v>
      </c>
      <c r="C39" s="21"/>
      <c r="D39" s="21"/>
      <c r="E39" s="21"/>
      <c r="F39" s="21"/>
      <c r="G39" s="21"/>
      <c r="H39" s="21"/>
      <c r="I39" s="21"/>
      <c r="M39" s="9"/>
      <c r="N39" s="9"/>
      <c r="O39" s="9"/>
      <c r="P39" s="9"/>
      <c r="Q39" s="9"/>
      <c r="R39" s="9"/>
      <c r="S39" s="9"/>
      <c r="T39" s="9"/>
      <c r="U39" s="9"/>
      <c r="V39" s="9"/>
      <c r="W39" s="9"/>
      <c r="X39" s="9"/>
      <c r="Y39" s="9"/>
      <c r="Z39" s="9"/>
      <c r="AA39" s="9"/>
    </row>
    <row r="40" spans="1:27" s="8" customFormat="1" ht="12.75" customHeight="1" x14ac:dyDescent="0.25">
      <c r="A40" s="15"/>
      <c r="B40" s="21"/>
      <c r="C40" s="21" t="s">
        <v>49</v>
      </c>
      <c r="D40" s="21"/>
      <c r="E40" s="21"/>
      <c r="F40" s="21"/>
      <c r="G40" s="21"/>
      <c r="H40" s="21"/>
      <c r="I40" s="21"/>
      <c r="M40" s="9"/>
      <c r="N40" s="9"/>
      <c r="O40" s="9"/>
      <c r="P40" s="9"/>
      <c r="Q40" s="9"/>
      <c r="R40" s="9"/>
      <c r="S40" s="9"/>
      <c r="T40" s="9"/>
      <c r="U40" s="9"/>
      <c r="V40" s="9"/>
      <c r="W40" s="9"/>
      <c r="X40" s="9"/>
      <c r="Y40" s="9"/>
      <c r="Z40" s="9"/>
      <c r="AA40" s="9"/>
    </row>
    <row r="41" spans="1:27" s="8" customFormat="1" ht="12.75" customHeight="1" x14ac:dyDescent="0.25">
      <c r="A41" s="15"/>
      <c r="B41" s="21"/>
      <c r="C41" s="21" t="s">
        <v>50</v>
      </c>
      <c r="D41" s="21"/>
      <c r="E41" s="21"/>
      <c r="F41" s="21"/>
      <c r="G41" s="21"/>
      <c r="H41" s="21"/>
      <c r="I41" s="21"/>
      <c r="M41" s="9"/>
      <c r="N41" s="9"/>
      <c r="O41" s="9"/>
      <c r="P41" s="9"/>
      <c r="Q41" s="9"/>
      <c r="R41" s="9"/>
      <c r="S41" s="9"/>
      <c r="T41" s="9"/>
      <c r="U41" s="9"/>
      <c r="V41" s="9"/>
      <c r="W41" s="9"/>
      <c r="X41" s="9"/>
      <c r="Y41" s="9"/>
      <c r="Z41" s="9"/>
      <c r="AA41" s="9"/>
    </row>
    <row r="42" spans="1:27" s="8" customFormat="1" ht="12.75" customHeight="1" x14ac:dyDescent="0.25">
      <c r="A42" s="15"/>
      <c r="B42" s="21"/>
      <c r="C42" s="21" t="s">
        <v>51</v>
      </c>
      <c r="D42" s="21"/>
      <c r="E42" s="21"/>
      <c r="F42" s="21"/>
      <c r="G42" s="21"/>
      <c r="H42" s="21"/>
      <c r="I42" s="21"/>
      <c r="M42" s="9"/>
      <c r="N42" s="9"/>
      <c r="O42" s="9"/>
      <c r="P42" s="9"/>
      <c r="Q42" s="9"/>
      <c r="R42" s="9"/>
      <c r="S42" s="9"/>
      <c r="T42" s="9"/>
      <c r="U42" s="9"/>
      <c r="V42" s="9"/>
      <c r="W42" s="9"/>
      <c r="X42" s="9"/>
      <c r="Y42" s="9"/>
      <c r="Z42" s="9"/>
      <c r="AA42" s="9"/>
    </row>
    <row r="43" spans="1:27" s="8" customFormat="1" ht="12.75" customHeight="1" x14ac:dyDescent="0.25">
      <c r="A43" s="15"/>
      <c r="B43" s="21"/>
      <c r="C43" s="21" t="s">
        <v>52</v>
      </c>
      <c r="D43" s="21"/>
      <c r="E43" s="21"/>
      <c r="F43" s="21"/>
      <c r="G43" s="21"/>
      <c r="H43" s="21"/>
      <c r="I43" s="21"/>
      <c r="M43" s="9"/>
      <c r="N43" s="9"/>
      <c r="O43" s="9"/>
      <c r="P43" s="9"/>
      <c r="Q43" s="9"/>
      <c r="R43" s="9"/>
      <c r="S43" s="9"/>
      <c r="T43" s="9"/>
      <c r="U43" s="9"/>
      <c r="V43" s="9"/>
      <c r="W43" s="9"/>
      <c r="X43" s="9"/>
      <c r="Y43" s="9"/>
      <c r="Z43" s="9"/>
      <c r="AA43" s="9"/>
    </row>
    <row r="44" spans="1:27" s="8" customFormat="1" ht="12.75" customHeight="1" x14ac:dyDescent="0.25">
      <c r="A44" s="15"/>
      <c r="B44" s="21"/>
      <c r="C44" s="21" t="s">
        <v>53</v>
      </c>
      <c r="D44" s="21"/>
      <c r="E44" s="21"/>
      <c r="F44" s="21"/>
      <c r="G44" s="21"/>
      <c r="H44" s="21"/>
      <c r="I44" s="21"/>
      <c r="M44" s="9"/>
      <c r="N44" s="9"/>
      <c r="O44" s="9"/>
      <c r="P44" s="9"/>
      <c r="Q44" s="9"/>
      <c r="R44" s="9"/>
      <c r="S44" s="9"/>
      <c r="T44" s="9"/>
      <c r="U44" s="9"/>
      <c r="V44" s="9"/>
      <c r="W44" s="9"/>
      <c r="X44" s="9"/>
      <c r="Y44" s="9"/>
      <c r="Z44" s="9"/>
      <c r="AA44" s="9"/>
    </row>
    <row r="45" spans="1:27" s="8" customFormat="1" ht="12.75" customHeight="1" x14ac:dyDescent="0.25">
      <c r="A45" s="15"/>
      <c r="B45" s="21"/>
      <c r="C45" s="21" t="s">
        <v>54</v>
      </c>
      <c r="D45" s="21"/>
      <c r="E45" s="21"/>
      <c r="F45" s="21"/>
      <c r="G45" s="21"/>
      <c r="H45" s="21"/>
      <c r="I45" s="21"/>
      <c r="M45" s="9"/>
      <c r="N45" s="9"/>
      <c r="O45" s="9"/>
      <c r="P45" s="9"/>
      <c r="Q45" s="9"/>
      <c r="R45" s="9"/>
      <c r="S45" s="9"/>
      <c r="T45" s="9"/>
      <c r="U45" s="9"/>
      <c r="V45" s="9"/>
      <c r="W45" s="9"/>
      <c r="X45" s="9"/>
      <c r="Y45" s="9"/>
      <c r="Z45" s="9"/>
      <c r="AA45" s="9"/>
    </row>
    <row r="46" spans="1:27" s="8" customFormat="1" ht="12.75" customHeight="1" x14ac:dyDescent="0.25">
      <c r="A46" s="15"/>
      <c r="B46" s="21" t="s">
        <v>55</v>
      </c>
      <c r="C46" s="21"/>
      <c r="D46" s="21"/>
      <c r="E46" s="21"/>
      <c r="F46" s="21"/>
      <c r="G46" s="21"/>
      <c r="H46" s="21"/>
      <c r="I46" s="21"/>
      <c r="M46" s="9"/>
      <c r="N46" s="9"/>
      <c r="O46" s="9"/>
      <c r="P46" s="9"/>
      <c r="Q46" s="9"/>
      <c r="R46" s="9"/>
      <c r="S46" s="9"/>
      <c r="T46" s="9"/>
      <c r="U46" s="9"/>
      <c r="V46" s="9"/>
      <c r="W46" s="9"/>
      <c r="X46" s="9"/>
      <c r="Y46" s="9"/>
      <c r="Z46" s="9"/>
      <c r="AA46" s="9"/>
    </row>
    <row r="47" spans="1:27" s="8" customFormat="1" ht="12.75" customHeight="1" x14ac:dyDescent="0.25">
      <c r="A47" s="15"/>
      <c r="B47" s="21" t="s">
        <v>56</v>
      </c>
      <c r="C47" s="21"/>
      <c r="D47" s="21"/>
      <c r="E47" s="21"/>
      <c r="F47" s="21"/>
      <c r="G47" s="21"/>
      <c r="H47" s="21"/>
      <c r="I47" s="21"/>
      <c r="M47" s="9"/>
      <c r="N47" s="9"/>
      <c r="O47" s="9"/>
      <c r="P47" s="9"/>
      <c r="Q47" s="9"/>
      <c r="R47" s="9"/>
      <c r="S47" s="9"/>
      <c r="T47" s="9"/>
      <c r="U47" s="9"/>
      <c r="V47" s="9"/>
      <c r="W47" s="9"/>
      <c r="X47" s="9"/>
      <c r="Y47" s="9"/>
      <c r="Z47" s="9"/>
      <c r="AA47" s="9"/>
    </row>
    <row r="48" spans="1:27" s="8" customFormat="1" ht="12.75" customHeight="1" x14ac:dyDescent="0.25">
      <c r="A48" s="15"/>
      <c r="B48" s="21"/>
      <c r="C48" s="21"/>
      <c r="D48" s="21"/>
      <c r="E48" s="21"/>
      <c r="F48" s="21"/>
      <c r="G48" s="21"/>
      <c r="H48" s="21"/>
      <c r="I48" s="21"/>
      <c r="M48" s="9"/>
      <c r="N48" s="9"/>
      <c r="O48" s="9"/>
      <c r="P48" s="9"/>
      <c r="Q48" s="9"/>
      <c r="R48" s="9"/>
      <c r="S48" s="9"/>
      <c r="T48" s="9"/>
      <c r="U48" s="9"/>
      <c r="V48" s="9"/>
      <c r="W48" s="9"/>
      <c r="X48" s="9"/>
      <c r="Y48" s="9"/>
      <c r="Z48" s="9"/>
      <c r="AA48" s="9"/>
    </row>
    <row r="49" spans="1:27" s="21" customFormat="1" ht="11.25" customHeight="1" x14ac:dyDescent="0.2">
      <c r="A49" s="8" t="s">
        <v>57</v>
      </c>
      <c r="M49" s="22"/>
      <c r="N49" s="22"/>
      <c r="O49" s="22"/>
      <c r="P49" s="22"/>
      <c r="Q49" s="22"/>
      <c r="R49" s="22"/>
      <c r="S49" s="22"/>
      <c r="T49" s="22"/>
      <c r="U49" s="22"/>
      <c r="V49" s="22"/>
      <c r="W49" s="22"/>
      <c r="X49" s="22"/>
      <c r="Y49" s="22"/>
      <c r="Z49" s="22"/>
      <c r="AA49" s="22"/>
    </row>
    <row r="50" spans="1:27" s="15" customFormat="1" ht="12.75" customHeight="1" x14ac:dyDescent="0.25">
      <c r="A50" s="15" t="s">
        <v>4</v>
      </c>
      <c r="B50" s="27" t="s">
        <v>58</v>
      </c>
      <c r="C50" s="504" t="s">
        <v>59</v>
      </c>
      <c r="D50" s="504"/>
      <c r="E50" s="504"/>
      <c r="F50" s="504"/>
      <c r="G50" s="504"/>
      <c r="H50" s="504"/>
      <c r="I50" s="504"/>
      <c r="J50" s="504"/>
      <c r="K50" s="504"/>
      <c r="M50" s="29"/>
      <c r="N50" s="29"/>
      <c r="O50" s="29"/>
      <c r="P50" s="29"/>
      <c r="Q50" s="29"/>
      <c r="R50" s="29"/>
      <c r="S50" s="29"/>
      <c r="T50" s="29"/>
      <c r="U50" s="29"/>
      <c r="V50" s="29"/>
      <c r="W50" s="29"/>
      <c r="X50" s="29"/>
      <c r="Y50" s="29"/>
      <c r="Z50" s="29"/>
      <c r="AA50" s="29"/>
    </row>
    <row r="51" spans="1:27" s="15" customFormat="1" ht="12.75" customHeight="1" x14ac:dyDescent="0.25">
      <c r="B51" s="30" t="s">
        <v>58</v>
      </c>
      <c r="C51" s="504" t="s">
        <v>60</v>
      </c>
      <c r="D51" s="504"/>
      <c r="E51" s="504"/>
      <c r="F51" s="504"/>
      <c r="G51" s="504"/>
      <c r="H51" s="504"/>
      <c r="I51" s="504"/>
      <c r="J51" s="504"/>
      <c r="K51" s="504"/>
      <c r="M51" s="29"/>
      <c r="N51" s="29"/>
      <c r="O51" s="29"/>
      <c r="P51" s="29"/>
      <c r="Q51" s="29"/>
      <c r="R51" s="29"/>
      <c r="S51" s="29"/>
      <c r="T51" s="29"/>
      <c r="U51" s="29"/>
      <c r="V51" s="29"/>
      <c r="W51" s="29"/>
      <c r="X51" s="29"/>
      <c r="Y51" s="29"/>
      <c r="Z51" s="29"/>
      <c r="AA51" s="29"/>
    </row>
    <row r="52" spans="1:27" s="15" customFormat="1" ht="12.75" customHeight="1" x14ac:dyDescent="0.25">
      <c r="B52" s="31"/>
      <c r="C52" s="21" t="s">
        <v>61</v>
      </c>
      <c r="E52" s="29"/>
      <c r="F52" s="21" t="s">
        <v>4</v>
      </c>
      <c r="M52" s="29"/>
      <c r="N52" s="29"/>
      <c r="O52" s="29"/>
      <c r="P52" s="29"/>
      <c r="Q52" s="29"/>
      <c r="R52" s="29"/>
      <c r="S52" s="29"/>
      <c r="T52" s="29"/>
      <c r="U52" s="29"/>
      <c r="V52" s="29"/>
      <c r="W52" s="29"/>
      <c r="X52" s="29"/>
      <c r="Y52" s="29"/>
      <c r="Z52" s="29"/>
      <c r="AA52" s="29"/>
    </row>
    <row r="53" spans="1:27" s="15" customFormat="1" ht="12.75" customHeight="1" x14ac:dyDescent="0.25">
      <c r="B53" s="32" t="s">
        <v>62</v>
      </c>
      <c r="C53" s="505" t="s">
        <v>63</v>
      </c>
      <c r="D53" s="505"/>
      <c r="E53" s="505"/>
      <c r="F53" s="505"/>
      <c r="G53" s="505"/>
      <c r="H53" s="505"/>
      <c r="I53" s="505"/>
      <c r="J53" s="505"/>
      <c r="K53" s="505"/>
      <c r="M53" s="29"/>
      <c r="N53" s="29"/>
      <c r="O53" s="29"/>
      <c r="P53" s="29"/>
      <c r="Q53" s="29"/>
      <c r="R53" s="29"/>
      <c r="S53" s="29"/>
      <c r="T53" s="29"/>
      <c r="U53" s="29"/>
      <c r="V53" s="29"/>
      <c r="W53" s="29"/>
      <c r="X53" s="29"/>
      <c r="Y53" s="29"/>
      <c r="Z53" s="29"/>
      <c r="AA53" s="29"/>
    </row>
    <row r="54" spans="1:27" s="15" customFormat="1" ht="12.75" customHeight="1" x14ac:dyDescent="0.25">
      <c r="B54" s="34" t="s">
        <v>64</v>
      </c>
      <c r="C54" s="33" t="s">
        <v>65</v>
      </c>
      <c r="D54" s="35"/>
      <c r="E54" s="35"/>
      <c r="F54" s="35"/>
      <c r="G54" s="35"/>
      <c r="H54" s="35"/>
      <c r="I54" s="35"/>
      <c r="J54" s="35"/>
      <c r="K54" s="35"/>
      <c r="M54" s="29"/>
      <c r="N54" s="29"/>
      <c r="O54" s="29"/>
      <c r="P54" s="29"/>
      <c r="Q54" s="29"/>
      <c r="R54" s="29"/>
      <c r="S54" s="29"/>
      <c r="T54" s="29"/>
      <c r="U54" s="29"/>
      <c r="V54" s="29"/>
      <c r="W54" s="29"/>
      <c r="X54" s="29"/>
      <c r="Y54" s="29"/>
      <c r="Z54" s="29"/>
      <c r="AA54" s="29"/>
    </row>
    <row r="55" spans="1:27" s="21" customFormat="1" ht="11.25" customHeight="1" x14ac:dyDescent="0.2">
      <c r="B55" s="21" t="s">
        <v>7</v>
      </c>
      <c r="C55" s="33" t="s">
        <v>66</v>
      </c>
      <c r="D55" s="36"/>
      <c r="E55" s="36"/>
      <c r="F55" s="36"/>
      <c r="G55" s="36"/>
      <c r="H55" s="36"/>
      <c r="I55" s="36"/>
      <c r="J55" s="36"/>
      <c r="K55" s="36"/>
      <c r="M55" s="22"/>
      <c r="N55" s="22"/>
      <c r="O55" s="22"/>
      <c r="P55" s="22"/>
      <c r="Q55" s="22"/>
      <c r="R55" s="22"/>
      <c r="S55" s="22"/>
      <c r="T55" s="22"/>
      <c r="U55" s="22"/>
      <c r="V55" s="22"/>
      <c r="W55" s="22"/>
      <c r="X55" s="22"/>
      <c r="Y55" s="22"/>
      <c r="Z55" s="22"/>
      <c r="AA55" s="22"/>
    </row>
    <row r="56" spans="1:27" s="21" customFormat="1" ht="11.25" customHeight="1" x14ac:dyDescent="0.2">
      <c r="B56" s="21" t="s">
        <v>9</v>
      </c>
      <c r="C56" s="33" t="s">
        <v>67</v>
      </c>
      <c r="D56" s="36"/>
      <c r="E56" s="36"/>
      <c r="F56" s="36"/>
      <c r="G56" s="36"/>
      <c r="H56" s="36"/>
      <c r="I56" s="36"/>
      <c r="J56" s="36"/>
      <c r="K56" s="36"/>
      <c r="M56" s="22"/>
      <c r="N56" s="22"/>
      <c r="O56" s="22"/>
      <c r="P56" s="22"/>
      <c r="Q56" s="22"/>
      <c r="R56" s="22"/>
      <c r="S56" s="22"/>
      <c r="T56" s="22"/>
      <c r="U56" s="22"/>
      <c r="V56" s="22"/>
      <c r="W56" s="22"/>
      <c r="X56" s="22"/>
      <c r="Y56" s="22"/>
      <c r="Z56" s="22"/>
      <c r="AA56" s="22"/>
    </row>
    <row r="57" spans="1:27" s="21" customFormat="1" ht="11.25" customHeight="1" x14ac:dyDescent="0.2">
      <c r="C57" s="33"/>
      <c r="D57" s="36"/>
      <c r="E57" s="36"/>
      <c r="F57" s="36"/>
      <c r="G57" s="36"/>
      <c r="H57" s="36"/>
      <c r="I57" s="36"/>
      <c r="J57" s="36"/>
      <c r="K57" s="36"/>
      <c r="M57" s="22"/>
      <c r="N57" s="22"/>
      <c r="O57" s="22"/>
      <c r="P57" s="22"/>
      <c r="Q57" s="22"/>
      <c r="R57" s="22"/>
      <c r="S57" s="22"/>
      <c r="T57" s="22"/>
      <c r="U57" s="22"/>
      <c r="V57" s="22"/>
      <c r="W57" s="22"/>
      <c r="X57" s="22"/>
      <c r="Y57" s="22"/>
      <c r="Z57" s="22"/>
      <c r="AA57" s="22"/>
    </row>
    <row r="58" spans="1:27" s="21" customFormat="1" ht="11.25" customHeight="1" x14ac:dyDescent="0.2">
      <c r="A58" s="8" t="s">
        <v>68</v>
      </c>
      <c r="B58" s="8"/>
      <c r="C58" s="37"/>
      <c r="D58" s="36"/>
      <c r="E58" s="36"/>
      <c r="F58" s="36"/>
      <c r="G58" s="36"/>
      <c r="H58" s="36"/>
      <c r="I58" s="36"/>
      <c r="J58" s="36"/>
      <c r="K58" s="36"/>
      <c r="M58" s="22"/>
      <c r="N58" s="22"/>
      <c r="O58" s="22"/>
      <c r="P58" s="22"/>
      <c r="Q58" s="22"/>
      <c r="R58" s="22"/>
      <c r="S58" s="22"/>
      <c r="T58" s="22"/>
      <c r="U58" s="22"/>
      <c r="V58" s="22"/>
      <c r="W58" s="22"/>
      <c r="X58" s="22"/>
      <c r="Y58" s="22"/>
      <c r="Z58" s="22"/>
      <c r="AA58" s="22"/>
    </row>
    <row r="59" spans="1:27" s="21" customFormat="1" ht="11.25" customHeight="1" x14ac:dyDescent="0.2">
      <c r="B59" s="21" t="s">
        <v>69</v>
      </c>
      <c r="C59" s="33"/>
      <c r="D59" s="36"/>
      <c r="E59" s="36"/>
      <c r="F59" s="36"/>
      <c r="G59" s="36"/>
      <c r="H59" s="36"/>
      <c r="I59" s="36"/>
      <c r="J59" s="36"/>
      <c r="K59" s="36"/>
      <c r="M59" s="22"/>
      <c r="N59" s="22"/>
      <c r="O59" s="22"/>
      <c r="P59" s="22"/>
      <c r="Q59" s="22"/>
      <c r="R59" s="22"/>
      <c r="S59" s="22"/>
      <c r="T59" s="22"/>
      <c r="U59" s="22"/>
      <c r="V59" s="22"/>
      <c r="W59" s="22"/>
      <c r="X59" s="22"/>
      <c r="Y59" s="22"/>
      <c r="Z59" s="22"/>
      <c r="AA59" s="22"/>
    </row>
    <row r="60" spans="1:27" s="21" customFormat="1" ht="11.25" customHeight="1" x14ac:dyDescent="0.2">
      <c r="B60" s="21" t="s">
        <v>70</v>
      </c>
      <c r="C60" s="33"/>
      <c r="D60" s="36"/>
      <c r="E60" s="36"/>
      <c r="F60" s="36"/>
      <c r="G60" s="36"/>
      <c r="H60" s="36"/>
      <c r="I60" s="36"/>
      <c r="J60" s="36"/>
      <c r="K60" s="36"/>
      <c r="M60" s="22"/>
      <c r="N60" s="22"/>
      <c r="O60" s="22"/>
      <c r="P60" s="22"/>
      <c r="Q60" s="22"/>
      <c r="R60" s="22"/>
      <c r="S60" s="22"/>
      <c r="T60" s="22"/>
      <c r="U60" s="22"/>
      <c r="V60" s="22"/>
      <c r="W60" s="22"/>
      <c r="X60" s="22"/>
      <c r="Y60" s="22"/>
      <c r="Z60" s="22"/>
      <c r="AA60" s="22"/>
    </row>
    <row r="61" spans="1:27" s="21" customFormat="1" ht="11.25" customHeight="1" x14ac:dyDescent="0.2">
      <c r="C61" s="33"/>
      <c r="D61" s="36"/>
      <c r="E61" s="36"/>
      <c r="F61" s="36"/>
      <c r="G61" s="36"/>
      <c r="H61" s="36"/>
      <c r="I61" s="36"/>
      <c r="J61" s="36"/>
      <c r="K61" s="36"/>
      <c r="M61" s="22"/>
      <c r="N61" s="22"/>
      <c r="O61" s="22"/>
      <c r="P61" s="22"/>
      <c r="Q61" s="22"/>
      <c r="R61" s="22"/>
      <c r="S61" s="22"/>
      <c r="T61" s="22"/>
      <c r="U61" s="22"/>
      <c r="V61" s="22"/>
      <c r="W61" s="22"/>
      <c r="X61" s="22"/>
      <c r="Y61" s="22"/>
      <c r="Z61" s="22"/>
      <c r="AA61" s="22"/>
    </row>
    <row r="62" spans="1:27" s="15" customFormat="1" ht="12.75" customHeight="1" x14ac:dyDescent="0.25">
      <c r="A62" s="38" t="s">
        <v>71</v>
      </c>
      <c r="B62" s="15" t="s">
        <v>72</v>
      </c>
      <c r="C62" s="33"/>
      <c r="D62" s="506" t="s">
        <v>73</v>
      </c>
      <c r="E62" s="506"/>
      <c r="F62" s="506"/>
      <c r="M62" s="29"/>
      <c r="N62" s="29"/>
      <c r="O62" s="29"/>
      <c r="P62" s="29"/>
      <c r="Q62" s="29"/>
      <c r="R62" s="29"/>
      <c r="S62" s="29"/>
      <c r="T62" s="29"/>
      <c r="U62" s="29"/>
      <c r="V62" s="29"/>
      <c r="W62" s="29"/>
      <c r="X62" s="29"/>
      <c r="Y62" s="29"/>
      <c r="Z62" s="29"/>
      <c r="AA62" s="29"/>
    </row>
    <row r="63" spans="1:27" s="15" customFormat="1" ht="12.75" customHeight="1" x14ac:dyDescent="0.25">
      <c r="A63" s="38"/>
      <c r="B63" s="15" t="s">
        <v>74</v>
      </c>
      <c r="C63" s="33"/>
      <c r="D63" s="39"/>
      <c r="E63" s="40"/>
      <c r="F63" s="21"/>
      <c r="M63" s="29"/>
      <c r="N63" s="29"/>
      <c r="O63" s="29"/>
      <c r="P63" s="29"/>
      <c r="Q63" s="29"/>
      <c r="R63" s="29"/>
      <c r="S63" s="29"/>
      <c r="T63" s="29"/>
      <c r="U63" s="29"/>
      <c r="V63" s="29"/>
      <c r="W63" s="29"/>
      <c r="X63" s="29"/>
      <c r="Y63" s="29"/>
      <c r="Z63" s="29"/>
      <c r="AA63" s="29"/>
    </row>
    <row r="64" spans="1:27" s="15" customFormat="1" ht="12.75" customHeight="1" x14ac:dyDescent="0.25">
      <c r="A64" s="41"/>
      <c r="C64" s="33"/>
      <c r="D64" s="39"/>
      <c r="E64" s="40"/>
      <c r="F64" s="21"/>
      <c r="M64" s="29"/>
      <c r="N64" s="29"/>
      <c r="O64" s="29"/>
      <c r="P64" s="29"/>
      <c r="Q64" s="29"/>
      <c r="R64" s="29"/>
      <c r="S64" s="29"/>
      <c r="T64" s="29"/>
      <c r="U64" s="29"/>
      <c r="V64" s="29"/>
      <c r="W64" s="29"/>
      <c r="X64" s="29"/>
      <c r="Y64" s="29"/>
      <c r="Z64" s="29"/>
      <c r="AA64" s="29"/>
    </row>
    <row r="65" spans="1:27" s="8" customFormat="1" ht="12.75" customHeight="1" x14ac:dyDescent="0.25">
      <c r="A65" s="507" t="s">
        <v>75</v>
      </c>
      <c r="B65" s="507"/>
      <c r="C65" s="507"/>
      <c r="D65" s="42"/>
      <c r="E65" s="42"/>
      <c r="F65" s="43"/>
      <c r="G65" s="42"/>
      <c r="H65" s="44" t="s">
        <v>4</v>
      </c>
      <c r="I65" s="42"/>
      <c r="J65" s="42"/>
      <c r="K65" s="45"/>
      <c r="M65" s="9"/>
      <c r="N65" s="9"/>
      <c r="O65" s="9"/>
      <c r="P65" s="9"/>
      <c r="Q65" s="9"/>
      <c r="R65" s="9"/>
      <c r="S65" s="9"/>
      <c r="T65" s="9"/>
      <c r="U65" s="9"/>
      <c r="V65" s="9"/>
      <c r="W65" s="9"/>
      <c r="X65" s="9"/>
      <c r="Y65" s="9"/>
      <c r="Z65" s="9"/>
      <c r="AA65" s="9"/>
    </row>
    <row r="66" spans="1:27" s="8" customFormat="1" ht="12.75" customHeight="1" x14ac:dyDescent="0.25">
      <c r="A66" s="46"/>
      <c r="B66" s="5"/>
      <c r="C66" s="5"/>
      <c r="F66" s="21"/>
      <c r="H66" s="6"/>
      <c r="M66" s="9"/>
      <c r="N66" s="9"/>
      <c r="O66" s="9"/>
      <c r="P66" s="9"/>
      <c r="Q66" s="9"/>
      <c r="R66" s="9"/>
      <c r="S66" s="9"/>
      <c r="T66" s="9"/>
      <c r="U66" s="9"/>
      <c r="V66" s="9"/>
      <c r="W66" s="9"/>
      <c r="X66" s="9"/>
      <c r="Y66" s="9"/>
      <c r="Z66" s="9"/>
      <c r="AA66" s="9"/>
    </row>
    <row r="67" spans="1:27" s="8" customFormat="1" ht="11.25" customHeight="1" x14ac:dyDescent="0.2">
      <c r="A67" s="8" t="s">
        <v>76</v>
      </c>
      <c r="B67" s="47" t="s">
        <v>77</v>
      </c>
      <c r="F67" s="21"/>
      <c r="M67" s="9"/>
      <c r="N67" s="9"/>
      <c r="O67" s="9"/>
      <c r="P67" s="9"/>
      <c r="Q67" s="9"/>
      <c r="R67" s="9"/>
      <c r="S67" s="9"/>
      <c r="T67" s="9"/>
      <c r="U67" s="9"/>
      <c r="V67" s="9"/>
      <c r="W67" s="9"/>
      <c r="X67" s="9"/>
      <c r="Y67" s="9"/>
      <c r="Z67" s="9"/>
      <c r="AA67" s="9"/>
    </row>
    <row r="68" spans="1:27" s="21" customFormat="1" ht="11.25" customHeight="1" x14ac:dyDescent="0.2">
      <c r="A68" s="21" t="s">
        <v>78</v>
      </c>
      <c r="C68" s="48" t="s">
        <v>79</v>
      </c>
      <c r="D68" s="48"/>
      <c r="E68" s="48"/>
      <c r="F68" s="48"/>
      <c r="G68" s="48"/>
      <c r="H68" s="48"/>
      <c r="I68" s="48"/>
      <c r="J68" s="48"/>
      <c r="K68" s="48"/>
      <c r="M68" s="22"/>
      <c r="N68" s="22"/>
      <c r="O68" s="22"/>
      <c r="P68" s="22"/>
      <c r="Q68" s="22"/>
      <c r="R68" s="22"/>
      <c r="S68" s="22"/>
      <c r="T68" s="22"/>
      <c r="U68" s="22"/>
      <c r="V68" s="22"/>
      <c r="W68" s="22"/>
      <c r="X68" s="22"/>
      <c r="Y68" s="22"/>
      <c r="Z68" s="22"/>
      <c r="AA68" s="22"/>
    </row>
    <row r="69" spans="1:27" s="21" customFormat="1" ht="11.25" customHeight="1" x14ac:dyDescent="0.2">
      <c r="A69" s="21" t="s">
        <v>80</v>
      </c>
      <c r="C69" s="48" t="s">
        <v>81</v>
      </c>
      <c r="D69" s="48"/>
      <c r="E69" s="48"/>
      <c r="F69" s="48"/>
      <c r="G69" s="48"/>
      <c r="H69" s="48"/>
      <c r="I69" s="48"/>
      <c r="J69" s="48"/>
      <c r="K69" s="48"/>
      <c r="M69" s="22"/>
      <c r="N69" s="22"/>
      <c r="O69" s="22"/>
      <c r="P69" s="22"/>
      <c r="Q69" s="22"/>
      <c r="R69" s="22"/>
      <c r="S69" s="22"/>
      <c r="T69" s="22"/>
      <c r="U69" s="22"/>
      <c r="V69" s="22"/>
      <c r="W69" s="22"/>
      <c r="X69" s="22"/>
      <c r="Y69" s="22"/>
      <c r="Z69" s="22"/>
      <c r="AA69" s="22"/>
    </row>
    <row r="70" spans="1:27" s="21" customFormat="1" ht="11.25" customHeight="1" x14ac:dyDescent="0.2">
      <c r="A70" s="21" t="s">
        <v>82</v>
      </c>
      <c r="C70" s="49" t="s">
        <v>83</v>
      </c>
      <c r="D70" s="48"/>
      <c r="E70" s="48"/>
      <c r="F70" s="48"/>
      <c r="G70" s="48"/>
      <c r="H70" s="48"/>
      <c r="I70" s="48"/>
      <c r="J70" s="48"/>
      <c r="K70" s="48"/>
      <c r="M70" s="22"/>
      <c r="N70" s="22"/>
      <c r="O70" s="22"/>
      <c r="P70" s="22"/>
      <c r="Q70" s="22"/>
      <c r="R70" s="22"/>
      <c r="S70" s="22"/>
      <c r="T70" s="22"/>
      <c r="U70" s="22"/>
      <c r="V70" s="22"/>
      <c r="W70" s="22"/>
      <c r="X70" s="22"/>
      <c r="Y70" s="22"/>
      <c r="Z70" s="22"/>
      <c r="AA70" s="22"/>
    </row>
    <row r="71" spans="1:27" s="21" customFormat="1" ht="11.25" customHeight="1" x14ac:dyDescent="0.2">
      <c r="A71" s="21" t="s">
        <v>84</v>
      </c>
      <c r="C71" s="508" t="s">
        <v>85</v>
      </c>
      <c r="D71" s="508"/>
      <c r="E71" s="508"/>
      <c r="F71" s="508"/>
      <c r="G71" s="508"/>
      <c r="H71" s="508"/>
      <c r="I71" s="48"/>
      <c r="J71" s="48"/>
      <c r="K71" s="48"/>
      <c r="M71" s="22"/>
      <c r="N71" s="22"/>
      <c r="O71" s="22"/>
      <c r="P71" s="22"/>
      <c r="Q71" s="22"/>
      <c r="R71" s="22"/>
      <c r="S71" s="22"/>
      <c r="T71" s="22"/>
      <c r="U71" s="22"/>
      <c r="V71" s="22"/>
      <c r="W71" s="22"/>
      <c r="X71" s="22"/>
      <c r="Y71" s="22"/>
      <c r="Z71" s="22"/>
      <c r="AA71" s="22"/>
    </row>
    <row r="72" spans="1:27" s="21" customFormat="1" ht="11.25" customHeight="1" x14ac:dyDescent="0.2">
      <c r="C72" s="22"/>
      <c r="D72" s="22"/>
      <c r="E72" s="22"/>
      <c r="F72" s="22"/>
      <c r="G72" s="22"/>
      <c r="H72" s="22"/>
      <c r="I72" s="22"/>
      <c r="J72" s="22"/>
      <c r="K72" s="22"/>
      <c r="M72" s="22"/>
      <c r="N72" s="22"/>
      <c r="O72" s="22"/>
      <c r="P72" s="22"/>
      <c r="Q72" s="22"/>
      <c r="R72" s="22"/>
      <c r="S72" s="22"/>
      <c r="T72" s="22"/>
      <c r="U72" s="22"/>
      <c r="V72" s="22"/>
      <c r="W72" s="22"/>
      <c r="X72" s="22"/>
      <c r="Y72" s="22"/>
      <c r="Z72" s="22"/>
      <c r="AA72" s="22"/>
    </row>
    <row r="73" spans="1:27" ht="12.75" customHeight="1" x14ac:dyDescent="0.25">
      <c r="A73" s="509" t="s">
        <v>86</v>
      </c>
      <c r="B73" s="509"/>
      <c r="C73" s="509"/>
      <c r="D73" s="51">
        <v>40777</v>
      </c>
      <c r="E73" s="510" t="s">
        <v>87</v>
      </c>
      <c r="F73" s="510"/>
      <c r="G73" s="510"/>
      <c r="H73" s="510"/>
      <c r="I73" s="510"/>
      <c r="J73" s="510"/>
      <c r="K73" s="510"/>
    </row>
    <row r="74" spans="1:27" ht="12.75" customHeight="1" x14ac:dyDescent="0.25">
      <c r="A74" s="53"/>
      <c r="B74" s="54"/>
      <c r="C74" s="55" t="s">
        <v>88</v>
      </c>
      <c r="D74" s="22">
        <f>'Recettes des sites diffus'!D4+'Recettes des sites diffus'!I4+'Recettes des sites diffus'!N4+'Recettes des sites diffus'!S4+'Recettes des sites diffus'!D25+'Recettes des sites diffus'!I25+'Recettes des sites diffus'!N25+'Recettes des sites diffus'!S25+'Recettes des sites diffus'!D46+'Recettes des sites diffus'!I46+'Recettes des sites diffus'!N46+'Recettes des sites diffus'!S46+'Recettes des sites diffus'!D67+'Recettes des sites diffus'!I67+'Recettes des sites diffus'!N67+'Recettes des sites diffus'!S67+'Recettes des sites diffus'!D88+'Recettes des sites diffus'!I88+'Recettes des sites diffus'!N88+'Recettes des sites diffus'!S88</f>
        <v>352</v>
      </c>
      <c r="E74" s="56" t="s">
        <v>89</v>
      </c>
      <c r="F74" s="56"/>
      <c r="G74" s="57"/>
      <c r="H74" s="58" t="s">
        <v>4</v>
      </c>
      <c r="I74" s="59" t="s">
        <v>4</v>
      </c>
      <c r="J74" s="60"/>
      <c r="K74" s="61"/>
    </row>
    <row r="75" spans="1:27" ht="50.25" customHeight="1" x14ac:dyDescent="0.25">
      <c r="A75" s="53"/>
      <c r="B75" s="54"/>
      <c r="C75" s="55" t="s">
        <v>90</v>
      </c>
      <c r="D75" s="65">
        <f>'Recettes des sites diffus'!D5+'Recettes des sites diffus'!I5+'Recettes des sites diffus'!N5+'Recettes des sites diffus'!S5+'Recettes des sites diffus'!D26+'Recettes des sites diffus'!I26+'Recettes des sites diffus'!N26+'Recettes des sites diffus'!S26+'Recettes des sites diffus'!D47+'Recettes des sites diffus'!I47+'Recettes des sites diffus'!N47+'Recettes des sites diffus'!S47+'Recettes des sites diffus'!D68+'Recettes des sites diffus'!I68+'Recettes des sites diffus'!N68+'Recettes des sites diffus'!S68+'Recettes des sites diffus'!D89+'Recettes des sites diffus'!I89+'Recettes des sites diffus'!N89+'Recettes des sites diffus'!S89</f>
        <v>15354</v>
      </c>
      <c r="E75" s="511" t="s">
        <v>91</v>
      </c>
      <c r="F75" s="511"/>
      <c r="G75" s="511"/>
      <c r="H75" s="511"/>
      <c r="I75" s="511"/>
      <c r="J75" s="60"/>
      <c r="K75" s="61"/>
    </row>
    <row r="76" spans="1:27" ht="12.75" customHeight="1" x14ac:dyDescent="0.25">
      <c r="A76" s="53"/>
      <c r="B76" s="54"/>
      <c r="C76" s="55" t="s">
        <v>90</v>
      </c>
      <c r="D76" s="65">
        <f>'Recettes des sites diffus'!D6+'Recettes des sites diffus'!I6+'Recettes des sites diffus'!N6+'Recettes des sites diffus'!S6+'Recettes des sites diffus'!D27+'Recettes des sites diffus'!I27+'Recettes des sites diffus'!N27+'Recettes des sites diffus'!S27+'Recettes des sites diffus'!D48+'Recettes des sites diffus'!I48+'Recettes des sites diffus'!N48+'Recettes des sites diffus'!S48+'Recettes des sites diffus'!D69+'Recettes des sites diffus'!I69+'Recettes des sites diffus'!N69+'Recettes des sites diffus'!S69+'Recettes des sites diffus'!D90+'Recettes des sites diffus'!I90+'Recettes des sites diffus'!N90+'Recettes des sites diffus'!S90</f>
        <v>8592</v>
      </c>
      <c r="E76" s="62" t="s">
        <v>92</v>
      </c>
      <c r="F76" s="57"/>
      <c r="G76" s="57"/>
      <c r="H76" s="63"/>
      <c r="I76" s="64"/>
      <c r="J76" s="60"/>
      <c r="K76" s="61"/>
    </row>
    <row r="77" spans="1:27" ht="12.75" customHeight="1" x14ac:dyDescent="0.25">
      <c r="A77" s="53"/>
      <c r="B77" s="54"/>
      <c r="C77" s="55"/>
      <c r="D77" s="65"/>
      <c r="E77" s="22"/>
      <c r="F77" s="66"/>
      <c r="G77" s="66"/>
      <c r="H77" s="67"/>
      <c r="I77" s="68"/>
      <c r="J77" s="3"/>
      <c r="K77" s="69"/>
    </row>
    <row r="78" spans="1:27" ht="12.75" customHeight="1" x14ac:dyDescent="0.25">
      <c r="A78" s="70"/>
      <c r="B78" s="71"/>
      <c r="C78" s="72" t="s">
        <v>93</v>
      </c>
      <c r="D78" s="65"/>
      <c r="E78" s="9"/>
      <c r="F78" s="73"/>
      <c r="G78" s="66"/>
      <c r="H78" s="67"/>
      <c r="I78" s="68"/>
      <c r="J78" s="3"/>
      <c r="K78" s="69"/>
    </row>
    <row r="79" spans="1:27" ht="12.75" customHeight="1" x14ac:dyDescent="0.25">
      <c r="A79" s="12"/>
      <c r="B79" s="11"/>
      <c r="C79" s="74" t="s">
        <v>94</v>
      </c>
      <c r="D79" s="75">
        <v>6000000</v>
      </c>
      <c r="E79" s="56" t="s">
        <v>95</v>
      </c>
      <c r="F79" s="57"/>
      <c r="G79" s="57"/>
      <c r="H79" s="63"/>
      <c r="I79" s="64"/>
      <c r="J79" s="60"/>
      <c r="K79" s="61"/>
    </row>
    <row r="80" spans="1:27" ht="12.75" customHeight="1" x14ac:dyDescent="0.25">
      <c r="A80" s="53"/>
      <c r="B80" s="54"/>
      <c r="C80" s="55"/>
      <c r="D80" s="76"/>
      <c r="E80" s="22"/>
      <c r="F80" s="66"/>
      <c r="G80" s="66"/>
      <c r="H80" s="67"/>
      <c r="I80" s="68"/>
      <c r="J80" s="3"/>
      <c r="K80" s="69"/>
    </row>
    <row r="81" spans="1:27" ht="12.75" customHeight="1" x14ac:dyDescent="0.25">
      <c r="A81" s="77"/>
      <c r="B81" s="78"/>
      <c r="C81" s="79" t="s">
        <v>96</v>
      </c>
      <c r="D81" s="76"/>
      <c r="E81" s="9"/>
      <c r="F81" s="66"/>
      <c r="G81" s="66"/>
      <c r="H81" s="67"/>
      <c r="I81" s="68"/>
      <c r="J81" s="3"/>
      <c r="K81" s="69"/>
    </row>
    <row r="82" spans="1:27" ht="12.75" customHeight="1" x14ac:dyDescent="0.25">
      <c r="A82" s="12"/>
      <c r="B82" s="10"/>
      <c r="C82" s="80" t="s">
        <v>97</v>
      </c>
      <c r="D82" s="76"/>
      <c r="E82" s="9"/>
      <c r="F82" s="66"/>
      <c r="G82" s="66"/>
      <c r="H82" s="67"/>
      <c r="I82" s="68"/>
      <c r="J82" s="3"/>
      <c r="K82" s="69"/>
    </row>
    <row r="83" spans="1:27" ht="12.75" customHeight="1" x14ac:dyDescent="0.25">
      <c r="A83" s="12"/>
      <c r="B83" s="11"/>
      <c r="C83" s="82" t="s">
        <v>99</v>
      </c>
      <c r="D83" s="84">
        <v>0.02</v>
      </c>
      <c r="E83" s="510" t="s">
        <v>100</v>
      </c>
      <c r="F83" s="510"/>
      <c r="G83" s="510"/>
      <c r="H83" s="510"/>
      <c r="I83" s="510"/>
      <c r="J83" s="510"/>
      <c r="K83" s="85" t="s">
        <v>436</v>
      </c>
    </row>
    <row r="84" spans="1:27" ht="12.75" customHeight="1" x14ac:dyDescent="0.25">
      <c r="A84" s="12"/>
      <c r="B84" s="11"/>
      <c r="C84" s="74" t="s">
        <v>105</v>
      </c>
      <c r="D84" s="91">
        <f>'Recettes des sites diffus'!D14+'Recettes des sites diffus'!I14+'Recettes des sites diffus'!N14+'Recettes des sites diffus'!S14+'Recettes des sites diffus'!D35+'Recettes des sites diffus'!I35+'Recettes des sites diffus'!N35+'Recettes des sites diffus'!S35+'Recettes des sites diffus'!D56+'Recettes des sites diffus'!I56+'Recettes des sites diffus'!N56+'Recettes des sites diffus'!S56+'Recettes des sites diffus'!D77+'Recettes des sites diffus'!N77+'Recettes des sites diffus'!I77+'Recettes des sites diffus'!S77+'Recettes des sites diffus'!D98+'Recettes des sites diffus'!I98+'Recettes des sites diffus'!N98+'Recettes des sites diffus'!S98</f>
        <v>3942.9071999999751</v>
      </c>
      <c r="E84" s="56" t="s">
        <v>106</v>
      </c>
      <c r="F84" s="57"/>
      <c r="G84" s="57"/>
      <c r="H84" s="58"/>
      <c r="I84" s="59"/>
      <c r="J84" s="60"/>
      <c r="K84" s="88"/>
    </row>
    <row r="85" spans="1:27" ht="12.75" customHeight="1" x14ac:dyDescent="0.25">
      <c r="A85" s="53"/>
      <c r="B85" s="54"/>
      <c r="C85" s="50"/>
      <c r="D85" s="92"/>
      <c r="E85" s="56"/>
      <c r="F85" s="57"/>
      <c r="G85" s="57"/>
      <c r="H85" s="58"/>
      <c r="I85" s="59"/>
      <c r="J85" s="60"/>
      <c r="K85" s="88"/>
    </row>
    <row r="86" spans="1:27" ht="12.75" customHeight="1" x14ac:dyDescent="0.25">
      <c r="A86" s="93"/>
      <c r="B86" s="94"/>
      <c r="C86" s="80" t="s">
        <v>107</v>
      </c>
      <c r="D86" s="91"/>
      <c r="E86" s="56"/>
      <c r="F86" s="57"/>
      <c r="G86" s="57"/>
      <c r="H86" s="58"/>
      <c r="I86" s="59"/>
      <c r="J86" s="60"/>
      <c r="K86" s="88"/>
    </row>
    <row r="87" spans="1:27" ht="12.75" customHeight="1" x14ac:dyDescent="0.25">
      <c r="A87" s="96"/>
      <c r="B87" s="97"/>
      <c r="C87" s="74" t="s">
        <v>108</v>
      </c>
      <c r="D87" s="98">
        <v>15</v>
      </c>
      <c r="E87" s="56" t="s">
        <v>109</v>
      </c>
      <c r="F87" s="57"/>
      <c r="G87" s="57"/>
      <c r="H87" s="58"/>
      <c r="I87" s="59"/>
      <c r="J87" s="60"/>
      <c r="K87" s="83"/>
    </row>
    <row r="88" spans="1:27" s="2" customFormat="1" ht="11.25" customHeight="1" x14ac:dyDescent="0.2">
      <c r="A88" s="50"/>
      <c r="B88" s="50"/>
      <c r="C88" s="74" t="s">
        <v>110</v>
      </c>
      <c r="D88" s="91">
        <f>'Recettes des sites diffus'!D18+'Recettes des sites diffus'!I18+'Recettes des sites diffus'!I18+'Recettes des sites diffus'!N18+'Recettes des sites diffus'!S18+'Recettes des sites diffus'!D39+'Recettes des sites diffus'!I39+'Recettes des sites diffus'!N39+'Recettes des sites diffus'!S39+'Recettes des sites diffus'!D60+'Recettes des sites diffus'!I60+'Recettes des sites diffus'!N60+'Recettes des sites diffus'!S60+'Recettes des sites diffus'!D81+'Recettes des sites diffus'!I81+'Recettes des sites diffus'!N81+'Recettes des sites diffus'!S81+'Recettes des sites diffus'!D102+'Recettes des sites diffus'!I102+'Recettes des sites diffus'!N102+'Recettes des sites diffus'!S102</f>
        <v>89442.72</v>
      </c>
      <c r="E88" s="56" t="s">
        <v>111</v>
      </c>
      <c r="F88" s="56"/>
      <c r="G88" s="56"/>
      <c r="H88" s="58"/>
      <c r="I88" s="59"/>
      <c r="J88" s="60"/>
      <c r="K88" s="99"/>
      <c r="M88" s="3"/>
      <c r="N88" s="3"/>
      <c r="O88" s="3"/>
      <c r="P88" s="3"/>
      <c r="Q88" s="3"/>
      <c r="R88" s="3"/>
      <c r="S88" s="3"/>
      <c r="T88" s="3"/>
      <c r="U88" s="3"/>
      <c r="V88" s="3"/>
      <c r="W88" s="3"/>
      <c r="X88" s="3"/>
      <c r="Y88" s="3"/>
      <c r="Z88" s="3"/>
      <c r="AA88" s="3"/>
    </row>
    <row r="89" spans="1:27" s="2" customFormat="1" ht="11.25" customHeight="1" x14ac:dyDescent="0.2">
      <c r="A89" s="55"/>
      <c r="B89" s="55"/>
      <c r="C89" s="50"/>
      <c r="D89" s="91"/>
      <c r="E89" s="56"/>
      <c r="F89" s="56"/>
      <c r="G89" s="56"/>
      <c r="H89" s="58"/>
      <c r="I89" s="59"/>
      <c r="J89" s="60"/>
      <c r="K89" s="99"/>
      <c r="M89" s="3"/>
      <c r="N89" s="3"/>
      <c r="O89" s="3"/>
      <c r="P89" s="3"/>
      <c r="Q89" s="3"/>
      <c r="R89" s="3"/>
      <c r="S89" s="3"/>
      <c r="T89" s="3"/>
      <c r="U89" s="3"/>
      <c r="V89" s="3"/>
      <c r="W89" s="3"/>
      <c r="X89" s="3"/>
      <c r="Y89" s="3"/>
      <c r="Z89" s="3"/>
      <c r="AA89" s="3"/>
    </row>
    <row r="90" spans="1:27" ht="12.75" customHeight="1" x14ac:dyDescent="0.25">
      <c r="A90" s="100"/>
      <c r="B90" s="78"/>
      <c r="C90" s="101" t="s">
        <v>112</v>
      </c>
      <c r="D90" s="102">
        <f>D88+D84</f>
        <v>93385.627199999974</v>
      </c>
      <c r="E90" s="56" t="s">
        <v>106</v>
      </c>
      <c r="F90" s="57"/>
      <c r="G90" s="57"/>
      <c r="H90" s="58"/>
      <c r="I90" s="59"/>
      <c r="J90" s="60"/>
      <c r="K90" s="88"/>
    </row>
    <row r="91" spans="1:27" ht="12.75" customHeight="1" x14ac:dyDescent="0.25">
      <c r="A91" s="53"/>
      <c r="B91" s="54"/>
      <c r="C91" s="55"/>
      <c r="D91" s="103"/>
      <c r="E91" s="56"/>
      <c r="F91" s="57"/>
      <c r="G91" s="57"/>
      <c r="H91" s="58"/>
      <c r="I91" s="59"/>
      <c r="J91" s="60"/>
      <c r="K91" s="88"/>
    </row>
    <row r="92" spans="1:27" ht="12.75" customHeight="1" x14ac:dyDescent="0.25">
      <c r="A92" s="12"/>
      <c r="B92" s="81"/>
      <c r="C92" s="96" t="s">
        <v>113</v>
      </c>
      <c r="D92" s="84">
        <v>1.4999999999999999E-2</v>
      </c>
      <c r="E92" s="56" t="s">
        <v>114</v>
      </c>
      <c r="F92" s="57"/>
      <c r="G92" s="57"/>
      <c r="H92" s="58"/>
      <c r="I92" s="59"/>
      <c r="J92" s="60"/>
      <c r="K92" s="85" t="s">
        <v>436</v>
      </c>
    </row>
    <row r="93" spans="1:27" ht="12.75" customHeight="1" x14ac:dyDescent="0.25">
      <c r="A93" s="53"/>
      <c r="B93" s="54"/>
      <c r="C93" s="104" t="s">
        <v>115</v>
      </c>
      <c r="D93" s="84">
        <v>1.4999999999999999E-2</v>
      </c>
      <c r="E93" s="56" t="s">
        <v>116</v>
      </c>
      <c r="F93" s="57"/>
      <c r="G93" s="57"/>
      <c r="H93" s="58"/>
      <c r="I93" s="59"/>
      <c r="J93" s="60"/>
      <c r="K93" s="85" t="s">
        <v>436</v>
      </c>
    </row>
    <row r="94" spans="1:27" ht="12.75" customHeight="1" x14ac:dyDescent="0.25">
      <c r="A94" s="53"/>
      <c r="B94" s="54"/>
      <c r="C94" s="104" t="s">
        <v>117</v>
      </c>
      <c r="D94" s="92">
        <f>(D90*D92)+(D90*D93)</f>
        <v>2801.5688159999991</v>
      </c>
      <c r="E94" s="56" t="s">
        <v>118</v>
      </c>
      <c r="F94" s="57"/>
      <c r="G94" s="57"/>
      <c r="H94" s="58"/>
      <c r="I94" s="59"/>
      <c r="J94" s="60"/>
      <c r="K94" s="61"/>
    </row>
    <row r="95" spans="1:27" ht="12.75" customHeight="1" x14ac:dyDescent="0.25">
      <c r="A95" s="100"/>
      <c r="B95" s="78"/>
      <c r="C95" s="101" t="s">
        <v>119</v>
      </c>
      <c r="D95" s="102">
        <f>D90-D94</f>
        <v>90584.058383999974</v>
      </c>
      <c r="E95" s="56" t="s">
        <v>120</v>
      </c>
      <c r="F95" s="57"/>
      <c r="G95" s="57"/>
      <c r="H95" s="58"/>
      <c r="I95" s="59"/>
      <c r="J95" s="60"/>
      <c r="K95" s="61"/>
    </row>
    <row r="96" spans="1:27" ht="12.75" customHeight="1" x14ac:dyDescent="0.25">
      <c r="A96" s="105"/>
      <c r="B96" s="106"/>
      <c r="C96" s="79"/>
      <c r="D96" s="92"/>
      <c r="E96" s="22"/>
      <c r="F96" s="66"/>
      <c r="G96" s="66"/>
      <c r="H96" s="107"/>
      <c r="I96" s="84"/>
      <c r="J96" s="3"/>
      <c r="K96" s="69"/>
    </row>
    <row r="97" spans="1:12" ht="12.75" customHeight="1" x14ac:dyDescent="0.25">
      <c r="A97" s="100"/>
      <c r="B97" s="78"/>
      <c r="C97" s="72" t="s">
        <v>121</v>
      </c>
      <c r="D97" s="92"/>
      <c r="E97" s="515" t="s">
        <v>122</v>
      </c>
      <c r="F97" s="515"/>
      <c r="G97" s="515"/>
      <c r="H97" s="515"/>
      <c r="I97" s="515"/>
      <c r="J97" s="515"/>
      <c r="K97" s="69"/>
    </row>
    <row r="98" spans="1:12" ht="12.75" customHeight="1" x14ac:dyDescent="0.25">
      <c r="A98" s="108"/>
      <c r="B98" s="94"/>
      <c r="C98" s="80"/>
      <c r="D98" s="92"/>
      <c r="E98" s="109" t="s">
        <v>123</v>
      </c>
      <c r="F98" s="35"/>
      <c r="G98" s="35"/>
      <c r="H98" s="35"/>
      <c r="I98" s="35"/>
      <c r="J98" s="35"/>
      <c r="K98" s="69"/>
    </row>
    <row r="99" spans="1:12" ht="93" customHeight="1" x14ac:dyDescent="0.25">
      <c r="A99" s="12"/>
      <c r="B99" s="11"/>
      <c r="C99" s="74" t="s">
        <v>124</v>
      </c>
      <c r="D99" s="95">
        <v>400000</v>
      </c>
      <c r="E99" s="512" t="s">
        <v>125</v>
      </c>
      <c r="F99" s="512"/>
      <c r="G99" s="512"/>
      <c r="H99" s="512"/>
      <c r="I99" s="512"/>
      <c r="J99" s="512"/>
      <c r="K99" s="110" t="s">
        <v>126</v>
      </c>
    </row>
    <row r="100" spans="1:12" ht="86.7" customHeight="1" x14ac:dyDescent="0.25">
      <c r="B100" s="111"/>
      <c r="C100" s="112" t="s">
        <v>127</v>
      </c>
      <c r="D100" s="75">
        <v>10000</v>
      </c>
      <c r="E100" s="516" t="s">
        <v>128</v>
      </c>
      <c r="F100" s="516"/>
      <c r="G100" s="516"/>
      <c r="H100" s="516"/>
      <c r="I100" s="516"/>
      <c r="J100" s="516"/>
      <c r="K100" s="110" t="s">
        <v>126</v>
      </c>
    </row>
    <row r="101" spans="1:12" ht="12.75" customHeight="1" x14ac:dyDescent="0.25">
      <c r="A101" s="12"/>
      <c r="B101" s="11"/>
      <c r="C101" s="74"/>
      <c r="D101" s="91"/>
      <c r="E101" s="109" t="s">
        <v>129</v>
      </c>
      <c r="F101" s="113"/>
      <c r="G101" s="113"/>
      <c r="H101" s="113"/>
      <c r="I101" s="35"/>
      <c r="J101" s="35"/>
      <c r="K101" s="83"/>
    </row>
    <row r="102" spans="1:12" ht="12.75" customHeight="1" x14ac:dyDescent="0.25">
      <c r="A102" s="12"/>
      <c r="B102" s="111"/>
      <c r="C102" s="112" t="s">
        <v>130</v>
      </c>
      <c r="D102" s="75">
        <v>111750</v>
      </c>
      <c r="E102" s="114" t="s">
        <v>131</v>
      </c>
      <c r="F102" s="90"/>
      <c r="G102" s="90"/>
      <c r="H102" s="90"/>
      <c r="I102" s="90"/>
      <c r="J102" s="115" t="s">
        <v>4</v>
      </c>
      <c r="K102" s="116" t="s">
        <v>132</v>
      </c>
    </row>
    <row r="103" spans="1:12" ht="12.75" customHeight="1" x14ac:dyDescent="0.25">
      <c r="A103" s="12"/>
      <c r="B103" s="111"/>
      <c r="C103" s="112" t="s">
        <v>133</v>
      </c>
      <c r="D103" s="75">
        <f>D102*0.4</f>
        <v>44700</v>
      </c>
      <c r="E103" s="62" t="s">
        <v>134</v>
      </c>
      <c r="F103" s="90"/>
      <c r="G103" s="90"/>
      <c r="H103" s="90"/>
      <c r="I103" s="90"/>
      <c r="J103" s="115" t="s">
        <v>4</v>
      </c>
      <c r="K103" s="116" t="s">
        <v>135</v>
      </c>
    </row>
    <row r="104" spans="1:12" ht="12.75" customHeight="1" x14ac:dyDescent="0.25">
      <c r="A104" s="12"/>
      <c r="B104" s="11"/>
      <c r="C104" s="74" t="s">
        <v>136</v>
      </c>
      <c r="D104" s="75">
        <v>1200</v>
      </c>
      <c r="E104" s="62" t="s">
        <v>137</v>
      </c>
      <c r="F104" s="117"/>
      <c r="G104" s="117"/>
      <c r="H104" s="117"/>
      <c r="I104" s="117"/>
      <c r="J104" s="118" t="s">
        <v>4</v>
      </c>
      <c r="K104" s="83" t="s">
        <v>132</v>
      </c>
    </row>
    <row r="105" spans="1:12" ht="12.75" customHeight="1" x14ac:dyDescent="0.25">
      <c r="A105" s="12"/>
      <c r="B105" s="11"/>
      <c r="C105" s="74" t="s">
        <v>138</v>
      </c>
      <c r="D105" s="75">
        <v>0</v>
      </c>
      <c r="E105" s="62" t="s">
        <v>139</v>
      </c>
      <c r="F105" s="117"/>
      <c r="G105" s="117"/>
      <c r="H105" s="117"/>
      <c r="I105" s="117"/>
      <c r="J105" s="118"/>
      <c r="K105" s="83"/>
    </row>
    <row r="106" spans="1:12" ht="12.75" customHeight="1" x14ac:dyDescent="0.25">
      <c r="A106" s="53"/>
      <c r="B106" s="54"/>
      <c r="C106" s="55"/>
      <c r="D106" s="119"/>
      <c r="E106" s="109" t="s">
        <v>140</v>
      </c>
      <c r="F106" s="120"/>
      <c r="G106" s="120"/>
      <c r="H106" s="120"/>
      <c r="I106" s="120"/>
      <c r="J106" s="121"/>
      <c r="K106" s="122"/>
    </row>
    <row r="107" spans="1:12" ht="12.75" customHeight="1" x14ac:dyDescent="0.25">
      <c r="A107" s="53"/>
      <c r="B107" s="54"/>
      <c r="C107" s="55"/>
      <c r="D107" s="119"/>
      <c r="E107" s="123"/>
      <c r="F107" s="124"/>
      <c r="G107" s="124"/>
      <c r="H107" s="124"/>
      <c r="I107" s="124"/>
      <c r="J107" s="124"/>
      <c r="K107" s="124"/>
    </row>
    <row r="108" spans="1:12" ht="12.75" customHeight="1" x14ac:dyDescent="0.25">
      <c r="A108" s="125" t="s">
        <v>141</v>
      </c>
      <c r="B108" s="125"/>
      <c r="C108" s="125"/>
      <c r="D108" s="125"/>
      <c r="E108" s="126"/>
      <c r="F108" s="127"/>
      <c r="G108" s="127"/>
      <c r="H108" s="127"/>
      <c r="I108" s="120"/>
      <c r="J108" s="121"/>
      <c r="K108" s="122"/>
    </row>
    <row r="109" spans="1:12" ht="27.75" customHeight="1" x14ac:dyDescent="0.25">
      <c r="E109" s="128" t="s">
        <v>142</v>
      </c>
      <c r="F109" s="128" t="s">
        <v>143</v>
      </c>
      <c r="G109" s="129"/>
      <c r="H109" s="130"/>
      <c r="I109" s="122"/>
      <c r="J109" s="131"/>
      <c r="L109" s="129"/>
    </row>
    <row r="110" spans="1:12" ht="12.75" customHeight="1" x14ac:dyDescent="0.25">
      <c r="A110" s="132" t="s">
        <v>144</v>
      </c>
      <c r="B110" s="54"/>
      <c r="C110" s="55" t="s">
        <v>145</v>
      </c>
      <c r="D110" s="133">
        <v>0</v>
      </c>
      <c r="E110" s="134">
        <f t="shared" ref="E110:E118" si="0">D110/$D$119</f>
        <v>0</v>
      </c>
      <c r="F110" s="134">
        <f t="shared" ref="F110:F118" si="1">D110/$D$79</f>
        <v>0</v>
      </c>
      <c r="G110" s="83" t="s">
        <v>135</v>
      </c>
      <c r="H110" s="135"/>
      <c r="I110" s="122"/>
    </row>
    <row r="111" spans="1:12" ht="12.75" customHeight="1" x14ac:dyDescent="0.25">
      <c r="A111" s="53"/>
      <c r="B111" s="54"/>
      <c r="C111" s="55" t="s">
        <v>146</v>
      </c>
      <c r="D111" s="136">
        <v>400000</v>
      </c>
      <c r="E111" s="134">
        <f t="shared" si="0"/>
        <v>0.33333333333333331</v>
      </c>
      <c r="F111" s="134">
        <f t="shared" si="1"/>
        <v>6.6666666666666666E-2</v>
      </c>
      <c r="G111" s="83" t="s">
        <v>135</v>
      </c>
      <c r="H111" s="135"/>
      <c r="I111" s="122"/>
    </row>
    <row r="112" spans="1:12" ht="12.75" customHeight="1" x14ac:dyDescent="0.25">
      <c r="A112" s="53"/>
      <c r="B112" s="54"/>
      <c r="C112" s="55" t="s">
        <v>147</v>
      </c>
      <c r="D112" s="136">
        <v>0</v>
      </c>
      <c r="E112" s="134">
        <f t="shared" si="0"/>
        <v>0</v>
      </c>
      <c r="F112" s="134">
        <f t="shared" si="1"/>
        <v>0</v>
      </c>
      <c r="G112" s="83" t="s">
        <v>135</v>
      </c>
      <c r="H112" s="135"/>
      <c r="I112" s="122"/>
    </row>
    <row r="113" spans="1:14" ht="12.75" customHeight="1" x14ac:dyDescent="0.25">
      <c r="A113" s="53"/>
      <c r="B113" s="54"/>
      <c r="C113" s="55" t="s">
        <v>148</v>
      </c>
      <c r="D113" s="136">
        <v>400000</v>
      </c>
      <c r="E113" s="134">
        <f t="shared" si="0"/>
        <v>0.33333333333333331</v>
      </c>
      <c r="F113" s="134">
        <f t="shared" si="1"/>
        <v>6.6666666666666666E-2</v>
      </c>
      <c r="G113" s="83" t="s">
        <v>135</v>
      </c>
      <c r="H113" s="135"/>
      <c r="I113" s="122"/>
    </row>
    <row r="114" spans="1:14" ht="12.75" customHeight="1" x14ac:dyDescent="0.25">
      <c r="A114" s="53"/>
      <c r="B114" s="54"/>
      <c r="C114" s="55" t="s">
        <v>149</v>
      </c>
      <c r="D114" s="136">
        <v>0</v>
      </c>
      <c r="E114" s="134">
        <f t="shared" si="0"/>
        <v>0</v>
      </c>
      <c r="F114" s="134">
        <f t="shared" si="1"/>
        <v>0</v>
      </c>
      <c r="G114" s="83" t="s">
        <v>135</v>
      </c>
      <c r="H114" s="135"/>
      <c r="I114" s="122"/>
    </row>
    <row r="115" spans="1:14" ht="12.75" customHeight="1" x14ac:dyDescent="0.25">
      <c r="A115" s="53"/>
      <c r="B115" s="54"/>
      <c r="C115" s="55" t="s">
        <v>150</v>
      </c>
      <c r="D115" s="136">
        <v>0</v>
      </c>
      <c r="E115" s="134">
        <f t="shared" si="0"/>
        <v>0</v>
      </c>
      <c r="F115" s="134">
        <f t="shared" si="1"/>
        <v>0</v>
      </c>
      <c r="G115" s="83" t="s">
        <v>135</v>
      </c>
      <c r="H115" s="135"/>
      <c r="I115" s="122"/>
    </row>
    <row r="116" spans="1:14" ht="12.75" customHeight="1" x14ac:dyDescent="0.25">
      <c r="A116" s="53"/>
      <c r="B116" s="54"/>
      <c r="C116" s="55" t="s">
        <v>151</v>
      </c>
      <c r="D116" s="136">
        <v>400000</v>
      </c>
      <c r="E116" s="134">
        <f t="shared" si="0"/>
        <v>0.33333333333333331</v>
      </c>
      <c r="F116" s="134">
        <f t="shared" si="1"/>
        <v>6.6666666666666666E-2</v>
      </c>
      <c r="G116" s="83" t="s">
        <v>135</v>
      </c>
      <c r="H116" s="135"/>
      <c r="I116" s="122"/>
    </row>
    <row r="117" spans="1:14" ht="12.75" customHeight="1" x14ac:dyDescent="0.25">
      <c r="A117" s="53"/>
      <c r="B117" s="54"/>
      <c r="C117" s="55" t="s">
        <v>152</v>
      </c>
      <c r="D117" s="136">
        <v>0</v>
      </c>
      <c r="E117" s="134">
        <f t="shared" si="0"/>
        <v>0</v>
      </c>
      <c r="F117" s="134">
        <f t="shared" si="1"/>
        <v>0</v>
      </c>
      <c r="G117" s="83" t="s">
        <v>135</v>
      </c>
      <c r="H117" s="135"/>
      <c r="I117" s="122"/>
    </row>
    <row r="118" spans="1:14" ht="12.75" customHeight="1" x14ac:dyDescent="0.25">
      <c r="A118" s="53"/>
      <c r="B118" s="54"/>
      <c r="C118" s="55" t="s">
        <v>153</v>
      </c>
      <c r="D118" s="137">
        <v>0</v>
      </c>
      <c r="E118" s="134">
        <f t="shared" si="0"/>
        <v>0</v>
      </c>
      <c r="F118" s="134">
        <f t="shared" si="1"/>
        <v>0</v>
      </c>
      <c r="G118" s="83" t="s">
        <v>154</v>
      </c>
      <c r="H118" s="135"/>
      <c r="I118" s="122"/>
    </row>
    <row r="119" spans="1:14" ht="12.75" customHeight="1" x14ac:dyDescent="0.25">
      <c r="A119" s="517" t="s">
        <v>155</v>
      </c>
      <c r="B119" s="517"/>
      <c r="C119" s="79" t="s">
        <v>4</v>
      </c>
      <c r="D119" s="138">
        <f>SUM(D110:D118)</f>
        <v>1200000</v>
      </c>
      <c r="E119" s="139">
        <f>SUM(E110:E118)</f>
        <v>1</v>
      </c>
      <c r="F119" s="139">
        <f>SUM(F110:F118)</f>
        <v>0.2</v>
      </c>
      <c r="G119" s="140"/>
      <c r="H119" s="141"/>
      <c r="I119" s="140"/>
      <c r="J119" s="122"/>
    </row>
    <row r="120" spans="1:14" ht="12.75" customHeight="1" x14ac:dyDescent="0.25">
      <c r="A120" s="17"/>
      <c r="B120" s="17"/>
      <c r="C120" s="79"/>
      <c r="D120" s="138"/>
      <c r="E120" s="139"/>
      <c r="F120" s="128" t="s">
        <v>143</v>
      </c>
      <c r="G120" s="121"/>
      <c r="H120" s="141"/>
      <c r="I120" s="121"/>
      <c r="J120" s="122"/>
    </row>
    <row r="121" spans="1:14" ht="12.75" customHeight="1" x14ac:dyDescent="0.25">
      <c r="A121" s="132" t="s">
        <v>156</v>
      </c>
      <c r="B121" s="17"/>
      <c r="C121" s="79"/>
      <c r="D121" s="142">
        <v>800000</v>
      </c>
      <c r="E121" s="139"/>
      <c r="F121" s="134">
        <f>D121/$D$79</f>
        <v>0.13333333333333333</v>
      </c>
      <c r="G121" s="83" t="s">
        <v>135</v>
      </c>
      <c r="H121" s="141"/>
      <c r="I121" s="122"/>
      <c r="J121" s="122"/>
    </row>
    <row r="122" spans="1:14" ht="12.75" customHeight="1" x14ac:dyDescent="0.25">
      <c r="A122" s="17" t="s">
        <v>157</v>
      </c>
      <c r="B122" s="17"/>
      <c r="C122" s="79"/>
      <c r="D122" s="138">
        <f>D119+D121</f>
        <v>2000000</v>
      </c>
      <c r="E122" s="139"/>
      <c r="F122" s="139">
        <f>F121+F119</f>
        <v>0.33333333333333337</v>
      </c>
      <c r="G122" s="143"/>
      <c r="H122" s="141"/>
      <c r="I122" s="120"/>
      <c r="J122" s="122"/>
    </row>
    <row r="123" spans="1:14" ht="12.75" customHeight="1" x14ac:dyDescent="0.25">
      <c r="F123" s="128"/>
      <c r="G123" s="1"/>
      <c r="H123" s="1"/>
      <c r="I123" s="1"/>
      <c r="J123" s="121"/>
      <c r="K123" s="144"/>
    </row>
    <row r="124" spans="1:14" ht="12.75" customHeight="1" x14ac:dyDescent="0.25">
      <c r="A124" s="132" t="s">
        <v>158</v>
      </c>
      <c r="D124" s="142">
        <v>1000000</v>
      </c>
      <c r="F124" s="134">
        <f>D124/$D$79</f>
        <v>0.16666666666666666</v>
      </c>
      <c r="G124" s="145"/>
      <c r="H124" s="140"/>
      <c r="I124" s="1"/>
      <c r="J124" s="121"/>
      <c r="K124" s="144"/>
    </row>
    <row r="125" spans="1:14" ht="14.7" customHeight="1" x14ac:dyDescent="0.25">
      <c r="A125" s="517"/>
      <c r="B125" s="517"/>
      <c r="C125" s="517"/>
      <c r="F125" s="143"/>
      <c r="G125" s="146" t="s">
        <v>4</v>
      </c>
      <c r="H125" s="120"/>
      <c r="I125" s="120"/>
      <c r="J125" s="518" t="s">
        <v>435</v>
      </c>
      <c r="K125" s="519"/>
      <c r="L125" s="1"/>
    </row>
    <row r="126" spans="1:14" ht="14.7" customHeight="1" x14ac:dyDescent="0.25">
      <c r="A126" s="53"/>
      <c r="B126" s="54"/>
      <c r="C126" s="79"/>
      <c r="D126" s="147"/>
      <c r="E126" s="129"/>
      <c r="F126" s="148"/>
      <c r="G126" s="120"/>
      <c r="H126" s="120"/>
      <c r="I126" s="519" t="s">
        <v>159</v>
      </c>
      <c r="J126" s="518"/>
      <c r="K126" s="519"/>
      <c r="L126" s="130"/>
    </row>
    <row r="127" spans="1:14" ht="12.75" customHeight="1" x14ac:dyDescent="0.25">
      <c r="A127" s="149"/>
      <c r="B127" s="150"/>
      <c r="C127" s="151"/>
      <c r="D127" s="138"/>
      <c r="F127" s="143"/>
      <c r="G127" s="120"/>
      <c r="H127" s="120"/>
      <c r="I127" s="519"/>
      <c r="J127" s="518"/>
      <c r="K127" s="519"/>
      <c r="L127" s="130"/>
      <c r="M127" s="120"/>
      <c r="N127" s="120"/>
    </row>
    <row r="128" spans="1:14" ht="42" customHeight="1" x14ac:dyDescent="0.25">
      <c r="A128" s="132" t="s">
        <v>160</v>
      </c>
      <c r="B128" s="54"/>
      <c r="C128" s="55"/>
      <c r="D128" s="119"/>
      <c r="E128" s="129" t="s">
        <v>161</v>
      </c>
      <c r="F128" s="143" t="s">
        <v>143</v>
      </c>
      <c r="G128" s="152" t="s">
        <v>162</v>
      </c>
      <c r="H128" s="152" t="s">
        <v>108</v>
      </c>
      <c r="I128" s="519"/>
      <c r="J128" s="518"/>
      <c r="K128" s="519"/>
      <c r="L128" s="130"/>
    </row>
    <row r="129" spans="1:11" ht="12.75" customHeight="1" x14ac:dyDescent="0.25">
      <c r="A129" s="132"/>
      <c r="B129" s="54"/>
      <c r="C129" s="55" t="s">
        <v>163</v>
      </c>
      <c r="D129" s="75">
        <v>2000000</v>
      </c>
      <c r="E129" s="153">
        <f>D129/$D$133</f>
        <v>0.66666666666666663</v>
      </c>
      <c r="F129" s="143">
        <f>D129/D79</f>
        <v>0.33333333333333331</v>
      </c>
      <c r="G129" s="154">
        <v>2.1500000000000002E-2</v>
      </c>
      <c r="H129" s="155">
        <v>25</v>
      </c>
      <c r="I129" s="156" t="s">
        <v>164</v>
      </c>
      <c r="J129" s="83" t="s">
        <v>165</v>
      </c>
      <c r="K129" s="135"/>
    </row>
    <row r="130" spans="1:11" ht="12.75" customHeight="1" x14ac:dyDescent="0.25">
      <c r="A130" s="132"/>
      <c r="B130" s="54"/>
      <c r="C130" s="55" t="s">
        <v>166</v>
      </c>
      <c r="D130" s="75">
        <v>500000</v>
      </c>
      <c r="E130" s="153">
        <f>D130/$D$133</f>
        <v>0.16666666666666666</v>
      </c>
      <c r="F130" s="143">
        <f>D130/D79</f>
        <v>8.3333333333333329E-2</v>
      </c>
      <c r="G130" s="154">
        <v>0.03</v>
      </c>
      <c r="H130" s="155">
        <v>35</v>
      </c>
      <c r="I130" s="156" t="s">
        <v>167</v>
      </c>
      <c r="J130" s="83" t="s">
        <v>165</v>
      </c>
      <c r="K130" s="135"/>
    </row>
    <row r="131" spans="1:11" ht="12.75" customHeight="1" x14ac:dyDescent="0.25">
      <c r="A131" s="132"/>
      <c r="B131" s="54"/>
      <c r="C131" s="55" t="s">
        <v>168</v>
      </c>
      <c r="D131" s="75">
        <v>250000</v>
      </c>
      <c r="E131" s="153">
        <f>D131/$D$133</f>
        <v>8.3333333333333329E-2</v>
      </c>
      <c r="F131" s="143">
        <f>D131/D79</f>
        <v>4.1666666666666664E-2</v>
      </c>
      <c r="G131" s="157">
        <v>2.5000000000000001E-3</v>
      </c>
      <c r="H131" s="155">
        <v>20</v>
      </c>
      <c r="I131" s="158" t="s">
        <v>169</v>
      </c>
      <c r="J131" s="83" t="s">
        <v>165</v>
      </c>
      <c r="K131" s="135"/>
    </row>
    <row r="132" spans="1:11" ht="12.75" customHeight="1" x14ac:dyDescent="0.25">
      <c r="A132" s="132"/>
      <c r="B132" s="54"/>
      <c r="C132" s="55" t="s">
        <v>170</v>
      </c>
      <c r="D132" s="75">
        <v>250000</v>
      </c>
      <c r="E132" s="153">
        <f>D132/$D$133</f>
        <v>8.3333333333333329E-2</v>
      </c>
      <c r="F132" s="143">
        <f>D132/D79</f>
        <v>4.1666666666666664E-2</v>
      </c>
      <c r="G132" s="157">
        <v>0.04</v>
      </c>
      <c r="H132" s="155">
        <v>10</v>
      </c>
      <c r="I132" s="158" t="s">
        <v>169</v>
      </c>
      <c r="J132" s="83" t="s">
        <v>165</v>
      </c>
      <c r="K132" s="135"/>
    </row>
    <row r="133" spans="1:11" ht="12.75" customHeight="1" x14ac:dyDescent="0.25">
      <c r="A133" s="132"/>
      <c r="B133" s="54"/>
      <c r="C133" s="79" t="s">
        <v>171</v>
      </c>
      <c r="D133" s="138">
        <f>SUM(D129:D132)</f>
        <v>3000000</v>
      </c>
      <c r="E133" s="153">
        <f>D133/$D$133</f>
        <v>1</v>
      </c>
      <c r="F133" s="143">
        <f>D133/D79</f>
        <v>0.5</v>
      </c>
      <c r="G133" s="122"/>
      <c r="H133" s="122"/>
      <c r="I133" s="152"/>
      <c r="J133" s="159"/>
      <c r="K133" s="160"/>
    </row>
    <row r="134" spans="1:11" ht="12.75" customHeight="1" x14ac:dyDescent="0.25">
      <c r="A134" s="132"/>
      <c r="B134" s="54"/>
      <c r="C134" s="79"/>
      <c r="D134" s="138"/>
      <c r="E134" s="153"/>
      <c r="F134" s="143"/>
      <c r="G134" s="122"/>
      <c r="H134" s="122"/>
      <c r="I134" s="152"/>
      <c r="J134" s="159"/>
      <c r="K134" s="160"/>
    </row>
    <row r="135" spans="1:11" ht="12.75" customHeight="1" x14ac:dyDescent="0.25">
      <c r="A135" s="161" t="s">
        <v>172</v>
      </c>
      <c r="B135" s="161"/>
      <c r="C135" s="161"/>
      <c r="D135" s="162">
        <f>IF(D133+D124+D122=D79,D79,"Erreur")</f>
        <v>6000000</v>
      </c>
      <c r="E135" s="56" t="s">
        <v>173</v>
      </c>
      <c r="F135" s="57"/>
      <c r="G135" s="57"/>
      <c r="H135" s="63"/>
      <c r="I135" s="64"/>
      <c r="J135" s="60"/>
      <c r="K135" s="61"/>
    </row>
    <row r="136" spans="1:11" ht="12.75" customHeight="1" x14ac:dyDescent="0.25">
      <c r="A136" s="163"/>
      <c r="B136" s="150"/>
      <c r="C136" s="151"/>
      <c r="D136" s="119"/>
      <c r="E136" s="164"/>
      <c r="F136" s="120"/>
      <c r="G136" s="120"/>
      <c r="H136" s="120"/>
      <c r="I136" s="120"/>
      <c r="J136" s="121"/>
      <c r="K136" s="122"/>
    </row>
    <row r="137" spans="1:11" ht="12.75" customHeight="1" x14ac:dyDescent="0.25">
      <c r="A137" s="70" t="s">
        <v>174</v>
      </c>
      <c r="B137" s="165"/>
      <c r="C137" s="166"/>
      <c r="D137" s="138"/>
      <c r="E137" s="520" t="s">
        <v>175</v>
      </c>
      <c r="F137" s="520"/>
      <c r="G137" s="520"/>
      <c r="H137" s="520"/>
      <c r="I137" s="520"/>
      <c r="J137" s="520"/>
      <c r="K137" s="520"/>
    </row>
    <row r="138" spans="1:11" ht="12.75" customHeight="1" x14ac:dyDescent="0.25">
      <c r="A138" s="132"/>
      <c r="B138" s="54"/>
      <c r="C138" s="55" t="s">
        <v>176</v>
      </c>
      <c r="D138" s="75">
        <f>D133*0.02</f>
        <v>60000</v>
      </c>
      <c r="E138" s="167" t="s">
        <v>177</v>
      </c>
      <c r="F138" s="168"/>
      <c r="G138" s="168"/>
      <c r="H138" s="168"/>
      <c r="I138" s="168"/>
      <c r="J138" s="168"/>
      <c r="K138" s="168"/>
    </row>
    <row r="139" spans="1:11" ht="12.75" customHeight="1" x14ac:dyDescent="0.25">
      <c r="A139" s="132"/>
      <c r="B139" s="54"/>
      <c r="C139" s="55"/>
      <c r="D139" s="169"/>
      <c r="E139" s="170"/>
      <c r="F139" s="171"/>
      <c r="G139" s="171"/>
      <c r="H139" s="171"/>
      <c r="I139" s="171"/>
      <c r="J139" s="171"/>
      <c r="K139" s="171"/>
    </row>
    <row r="140" spans="1:11" ht="12.75" customHeight="1" x14ac:dyDescent="0.25">
      <c r="A140" s="70" t="s">
        <v>178</v>
      </c>
      <c r="B140" s="71"/>
      <c r="C140" s="172" t="s">
        <v>4</v>
      </c>
      <c r="D140" s="119" t="s">
        <v>4</v>
      </c>
      <c r="E140" s="123" t="s">
        <v>4</v>
      </c>
      <c r="F140" s="124"/>
      <c r="G140" s="124"/>
      <c r="H140" s="124"/>
      <c r="I140" s="124"/>
      <c r="J140" s="124"/>
      <c r="K140" s="124"/>
    </row>
    <row r="141" spans="1:11" ht="12.75" customHeight="1" x14ac:dyDescent="0.25">
      <c r="A141" s="521" t="s">
        <v>4</v>
      </c>
      <c r="B141" s="521"/>
      <c r="C141" s="173" t="s">
        <v>179</v>
      </c>
      <c r="D141" s="174">
        <v>2024</v>
      </c>
      <c r="E141" s="52" t="s">
        <v>180</v>
      </c>
      <c r="F141" s="175"/>
      <c r="G141" s="175"/>
      <c r="H141" s="176"/>
      <c r="I141" s="177"/>
      <c r="J141" s="178"/>
      <c r="K141" s="85" t="s">
        <v>436</v>
      </c>
    </row>
    <row r="142" spans="1:11" ht="12.75" customHeight="1" x14ac:dyDescent="0.25">
      <c r="A142" s="149"/>
      <c r="B142" s="179"/>
      <c r="C142" s="173" t="s">
        <v>181</v>
      </c>
      <c r="D142" s="174">
        <v>25</v>
      </c>
      <c r="E142" s="52" t="s">
        <v>182</v>
      </c>
      <c r="F142" s="180"/>
      <c r="G142" s="180"/>
      <c r="H142" s="181"/>
      <c r="I142" s="182"/>
      <c r="J142" s="183"/>
      <c r="K142" s="184"/>
    </row>
    <row r="143" spans="1:11" ht="12.75" customHeight="1" x14ac:dyDescent="0.25">
      <c r="A143" s="53"/>
      <c r="B143" s="54"/>
      <c r="C143" s="55" t="s">
        <v>183</v>
      </c>
      <c r="D143" s="76">
        <v>0.02</v>
      </c>
      <c r="E143" s="185" t="s">
        <v>184</v>
      </c>
      <c r="F143" s="168"/>
      <c r="G143" s="168"/>
      <c r="H143" s="168"/>
      <c r="I143" s="168"/>
      <c r="J143" s="186"/>
      <c r="K143" s="85" t="s">
        <v>436</v>
      </c>
    </row>
    <row r="144" spans="1:11" ht="12.75" customHeight="1" x14ac:dyDescent="0.25">
      <c r="A144" s="53"/>
      <c r="B144" s="54"/>
      <c r="C144" s="55" t="s">
        <v>185</v>
      </c>
      <c r="D144" s="187">
        <v>5.5E-2</v>
      </c>
      <c r="E144" s="185" t="s">
        <v>186</v>
      </c>
      <c r="F144" s="168"/>
      <c r="G144" s="168"/>
      <c r="H144" s="168"/>
      <c r="I144" s="168"/>
      <c r="J144" s="186"/>
      <c r="K144" s="188"/>
    </row>
    <row r="145" spans="1:27" ht="12.75" customHeight="1" x14ac:dyDescent="0.25">
      <c r="A145" s="53"/>
      <c r="B145" s="54"/>
      <c r="C145" s="55" t="s">
        <v>187</v>
      </c>
      <c r="D145" s="76">
        <v>0.02</v>
      </c>
      <c r="E145" s="189" t="s">
        <v>188</v>
      </c>
      <c r="F145" s="190"/>
      <c r="G145" s="191"/>
      <c r="H145" s="192"/>
      <c r="I145" s="193"/>
      <c r="J145" s="194"/>
      <c r="K145" s="85" t="s">
        <v>436</v>
      </c>
    </row>
    <row r="146" spans="1:27" ht="12.75" customHeight="1" x14ac:dyDescent="0.25">
      <c r="A146" s="53"/>
      <c r="B146" s="54"/>
      <c r="C146" s="55" t="s">
        <v>189</v>
      </c>
      <c r="D146" s="76">
        <v>1.4999999999999999E-2</v>
      </c>
      <c r="E146" s="189" t="s">
        <v>188</v>
      </c>
      <c r="F146" s="190"/>
      <c r="G146" s="191"/>
      <c r="H146" s="192"/>
      <c r="I146" s="193"/>
      <c r="J146" s="194"/>
      <c r="K146" s="85" t="s">
        <v>436</v>
      </c>
      <c r="L146" s="3"/>
    </row>
    <row r="147" spans="1:27" ht="12.75" customHeight="1" x14ac:dyDescent="0.25">
      <c r="A147" s="53"/>
      <c r="B147" s="54"/>
      <c r="C147" s="55" t="s">
        <v>190</v>
      </c>
      <c r="D147" s="76">
        <v>1.4999999999999999E-2</v>
      </c>
      <c r="E147" s="189" t="s">
        <v>191</v>
      </c>
      <c r="F147" s="190"/>
      <c r="G147" s="195"/>
      <c r="H147" s="192"/>
      <c r="I147" s="193"/>
      <c r="J147" s="194"/>
      <c r="K147" s="85" t="s">
        <v>436</v>
      </c>
      <c r="L147" s="3"/>
    </row>
    <row r="148" spans="1:27" ht="12.75" customHeight="1" x14ac:dyDescent="0.25">
      <c r="A148" s="53"/>
      <c r="B148" s="54"/>
      <c r="C148" s="55" t="s">
        <v>192</v>
      </c>
      <c r="D148" s="76">
        <v>0.02</v>
      </c>
      <c r="E148" s="189" t="s">
        <v>193</v>
      </c>
      <c r="F148" s="190"/>
      <c r="G148" s="191"/>
      <c r="H148" s="192"/>
      <c r="I148" s="193"/>
      <c r="J148" s="194"/>
      <c r="K148" s="85" t="s">
        <v>436</v>
      </c>
      <c r="L148" s="3"/>
    </row>
    <row r="149" spans="1:27" ht="22.5" customHeight="1" x14ac:dyDescent="0.25">
      <c r="A149" s="105"/>
      <c r="B149" s="196"/>
      <c r="C149" s="55" t="s">
        <v>194</v>
      </c>
      <c r="D149" s="76">
        <f>D143+0.015</f>
        <v>3.5000000000000003E-2</v>
      </c>
      <c r="E149" s="189" t="s">
        <v>195</v>
      </c>
      <c r="F149" s="197"/>
      <c r="G149" s="197"/>
      <c r="H149" s="198"/>
      <c r="I149" s="199"/>
      <c r="J149" s="200"/>
      <c r="K149" s="201" t="s">
        <v>196</v>
      </c>
      <c r="L149" s="3"/>
    </row>
    <row r="150" spans="1:27" ht="12.75" customHeight="1" x14ac:dyDescent="0.25">
      <c r="A150" s="105"/>
      <c r="B150" s="106"/>
      <c r="C150" s="79"/>
      <c r="D150" s="202"/>
      <c r="E150" s="203"/>
      <c r="F150" s="204"/>
      <c r="G150" s="204"/>
      <c r="H150" s="205"/>
      <c r="I150" s="206"/>
      <c r="J150" s="207"/>
      <c r="K150" s="208"/>
    </row>
    <row r="151" spans="1:27" s="2" customFormat="1" ht="12.75" customHeight="1" x14ac:dyDescent="0.25">
      <c r="A151" s="209" t="s">
        <v>197</v>
      </c>
      <c r="B151" s="210"/>
      <c r="C151" s="211"/>
      <c r="D151" s="212"/>
      <c r="E151" s="213"/>
      <c r="F151" s="44" t="s">
        <v>4</v>
      </c>
      <c r="G151" s="214"/>
      <c r="H151" s="215"/>
      <c r="I151" s="216"/>
      <c r="J151" s="217"/>
      <c r="K151" s="218"/>
      <c r="M151" s="3"/>
      <c r="N151" s="3"/>
      <c r="O151" s="3"/>
      <c r="P151" s="3"/>
      <c r="Q151" s="3"/>
      <c r="R151" s="3"/>
      <c r="S151" s="3"/>
      <c r="T151" s="3"/>
      <c r="U151" s="3"/>
      <c r="V151" s="3"/>
      <c r="W151" s="3"/>
      <c r="X151" s="3"/>
      <c r="Y151" s="3"/>
      <c r="Z151" s="3"/>
      <c r="AA151" s="3"/>
    </row>
    <row r="152" spans="1:27" ht="12.75" customHeight="1" x14ac:dyDescent="0.25">
      <c r="A152" s="219" t="s">
        <v>198</v>
      </c>
      <c r="B152" s="220"/>
      <c r="C152" s="221"/>
      <c r="D152" s="76"/>
      <c r="E152" s="222"/>
      <c r="F152" s="223"/>
      <c r="G152" s="223"/>
      <c r="H152" s="224"/>
      <c r="I152" s="225"/>
      <c r="J152" s="226"/>
      <c r="K152" s="223"/>
    </row>
    <row r="153" spans="1:27" ht="12.75" customHeight="1" x14ac:dyDescent="0.25">
      <c r="A153" s="219" t="s">
        <v>199</v>
      </c>
      <c r="B153" s="220"/>
      <c r="C153" s="221"/>
      <c r="D153" s="76"/>
      <c r="E153" s="222"/>
      <c r="F153" s="223"/>
      <c r="G153" s="223"/>
      <c r="H153" s="224"/>
      <c r="I153" s="225"/>
      <c r="J153" s="226"/>
      <c r="K153" s="223"/>
    </row>
    <row r="154" spans="1:27" ht="12.75" customHeight="1" x14ac:dyDescent="0.25">
      <c r="A154" s="219"/>
      <c r="B154" s="220"/>
      <c r="C154" s="221"/>
      <c r="D154" s="76"/>
      <c r="E154" s="222"/>
      <c r="F154" s="223"/>
      <c r="G154" s="223"/>
      <c r="H154" s="224"/>
      <c r="I154" s="225"/>
      <c r="J154" s="226"/>
      <c r="K154" s="223"/>
    </row>
    <row r="155" spans="1:27" ht="12.75" customHeight="1" x14ac:dyDescent="0.25">
      <c r="A155" s="20"/>
      <c r="B155" s="220"/>
      <c r="C155" s="227" t="s">
        <v>200</v>
      </c>
      <c r="D155" s="228" t="s">
        <v>201</v>
      </c>
      <c r="E155" s="222"/>
      <c r="F155" s="223"/>
      <c r="G155" s="223"/>
      <c r="H155" s="224"/>
      <c r="I155" s="225"/>
      <c r="J155" s="226"/>
      <c r="K155" s="223"/>
    </row>
    <row r="156" spans="1:27" ht="12.75" customHeight="1" x14ac:dyDescent="0.25">
      <c r="A156" s="132" t="s">
        <v>4</v>
      </c>
      <c r="B156" s="229"/>
      <c r="C156" s="107"/>
      <c r="D156" s="76"/>
      <c r="E156" s="230" t="s">
        <v>202</v>
      </c>
      <c r="F156" s="231"/>
      <c r="G156" s="231"/>
      <c r="H156" s="232"/>
      <c r="I156" s="233"/>
      <c r="J156" s="234"/>
      <c r="K156" s="235"/>
    </row>
    <row r="157" spans="1:27" ht="12.75" customHeight="1" x14ac:dyDescent="0.25">
      <c r="A157" s="19" t="s">
        <v>203</v>
      </c>
      <c r="B157" s="54"/>
      <c r="C157" s="236" t="s">
        <v>4</v>
      </c>
      <c r="D157" s="237">
        <f>D79</f>
        <v>6000000</v>
      </c>
      <c r="E157" s="238" t="s">
        <v>204</v>
      </c>
      <c r="F157" s="239"/>
      <c r="G157" s="239"/>
      <c r="H157" s="240"/>
      <c r="I157" s="241"/>
      <c r="J157" s="242"/>
      <c r="K157" s="243"/>
    </row>
    <row r="158" spans="1:27" ht="15" customHeight="1" x14ac:dyDescent="0.25">
      <c r="A158" s="522" t="s">
        <v>205</v>
      </c>
      <c r="B158" s="522"/>
      <c r="C158" s="244" t="s">
        <v>4</v>
      </c>
      <c r="D158" s="245">
        <f>'Calculs détaillés'!AJ53</f>
        <v>792638.0073068135</v>
      </c>
      <c r="E158" s="523" t="s">
        <v>206</v>
      </c>
      <c r="F158" s="523"/>
      <c r="G158" s="523"/>
      <c r="H158" s="523"/>
      <c r="I158" s="523"/>
      <c r="J158" s="523"/>
      <c r="K158" s="246" t="s">
        <v>4</v>
      </c>
      <c r="L158" t="s">
        <v>4</v>
      </c>
    </row>
    <row r="159" spans="1:27" ht="12.75" customHeight="1" x14ac:dyDescent="0.25">
      <c r="A159" s="522" t="s">
        <v>207</v>
      </c>
      <c r="B159" s="522"/>
      <c r="C159" s="244" t="s">
        <v>4</v>
      </c>
      <c r="D159" s="245">
        <f>D138</f>
        <v>60000</v>
      </c>
      <c r="E159" s="238" t="s">
        <v>208</v>
      </c>
      <c r="F159" s="239"/>
      <c r="G159" s="239"/>
      <c r="H159" s="240"/>
      <c r="I159" s="241"/>
      <c r="J159" s="242"/>
      <c r="K159" s="243"/>
    </row>
    <row r="160" spans="1:27" ht="12.75" customHeight="1" x14ac:dyDescent="0.25">
      <c r="A160" s="149" t="s">
        <v>209</v>
      </c>
      <c r="B160" s="150"/>
      <c r="C160" s="247" t="s">
        <v>4</v>
      </c>
      <c r="D160" s="248">
        <f>SUM(D157:D159)</f>
        <v>6852638.0073068133</v>
      </c>
      <c r="E160" s="238" t="s">
        <v>210</v>
      </c>
      <c r="F160" s="239"/>
      <c r="G160" s="239"/>
      <c r="H160" s="240"/>
      <c r="I160" s="241"/>
      <c r="J160" s="242"/>
      <c r="K160" s="243"/>
    </row>
    <row r="161" spans="1:12" ht="12.75" customHeight="1" x14ac:dyDescent="0.25">
      <c r="A161" s="249" t="s">
        <v>4</v>
      </c>
      <c r="B161" s="250"/>
      <c r="C161" s="251"/>
      <c r="D161" s="252"/>
      <c r="E161" s="230" t="s">
        <v>211</v>
      </c>
      <c r="F161" s="231"/>
      <c r="G161" s="231"/>
      <c r="H161" s="232"/>
      <c r="I161" s="253"/>
      <c r="J161" s="234"/>
      <c r="K161" s="254"/>
    </row>
    <row r="162" spans="1:12" ht="12.75" customHeight="1" x14ac:dyDescent="0.25">
      <c r="A162" s="19" t="s">
        <v>97</v>
      </c>
      <c r="B162" s="54"/>
      <c r="C162" s="255">
        <f>'Calculs détaillés'!C53</f>
        <v>96639.88235294052</v>
      </c>
      <c r="D162" s="256" t="s">
        <v>4</v>
      </c>
      <c r="E162" s="238" t="s">
        <v>212</v>
      </c>
      <c r="F162" s="239"/>
      <c r="G162" s="239"/>
      <c r="H162" s="240"/>
      <c r="I162" s="241"/>
      <c r="J162" s="242"/>
      <c r="K162" s="243"/>
      <c r="L162" t="s">
        <v>4</v>
      </c>
    </row>
    <row r="163" spans="1:12" ht="12.75" customHeight="1" x14ac:dyDescent="0.25">
      <c r="A163" s="19" t="s">
        <v>213</v>
      </c>
      <c r="B163" s="54"/>
      <c r="C163" s="255">
        <f>'Calculs détaillés'!D53</f>
        <v>1149273.0774880641</v>
      </c>
      <c r="D163" s="256" t="s">
        <v>4</v>
      </c>
      <c r="E163" s="238" t="s">
        <v>214</v>
      </c>
      <c r="F163" s="239"/>
      <c r="G163" s="239"/>
      <c r="H163" s="240"/>
      <c r="I163" s="241"/>
      <c r="J163" s="242"/>
      <c r="K163" s="243"/>
      <c r="L163" t="s">
        <v>4</v>
      </c>
    </row>
    <row r="164" spans="1:12" ht="12.75" customHeight="1" x14ac:dyDescent="0.25">
      <c r="A164" s="219" t="s">
        <v>215</v>
      </c>
      <c r="B164" s="257"/>
      <c r="C164" s="258">
        <f>'Calculs détaillés'!F53</f>
        <v>111750</v>
      </c>
      <c r="D164" s="256" t="s">
        <v>4</v>
      </c>
      <c r="E164" s="238" t="s">
        <v>216</v>
      </c>
      <c r="F164" s="239"/>
      <c r="G164" s="239"/>
      <c r="H164" s="259"/>
      <c r="I164" s="241"/>
      <c r="J164" s="242"/>
      <c r="K164" s="243"/>
      <c r="L164" t="s">
        <v>4</v>
      </c>
    </row>
    <row r="165" spans="1:12" ht="12.6" customHeight="1" x14ac:dyDescent="0.25">
      <c r="A165" s="219" t="s">
        <v>217</v>
      </c>
      <c r="B165" s="257"/>
      <c r="C165" s="258">
        <f>'Calculs détaillés'!G53</f>
        <v>-44700</v>
      </c>
      <c r="D165" s="256"/>
      <c r="E165" s="238" t="s">
        <v>218</v>
      </c>
      <c r="F165" s="239"/>
      <c r="G165" s="239"/>
      <c r="H165" s="259"/>
      <c r="I165" s="241"/>
      <c r="J165" s="242"/>
      <c r="K165" s="243"/>
      <c r="L165" t="s">
        <v>4</v>
      </c>
    </row>
    <row r="166" spans="1:12" ht="22.95" customHeight="1" x14ac:dyDescent="0.25">
      <c r="A166" s="524" t="s">
        <v>219</v>
      </c>
      <c r="B166" s="524"/>
      <c r="C166" s="260">
        <f>'Calculs détaillés'!H53</f>
        <v>29411.764705882353</v>
      </c>
      <c r="D166" s="256" t="s">
        <v>4</v>
      </c>
      <c r="E166" s="238" t="s">
        <v>220</v>
      </c>
      <c r="F166" s="239"/>
      <c r="G166" s="239"/>
      <c r="H166" s="240"/>
      <c r="I166" s="241"/>
      <c r="J166" s="242"/>
      <c r="K166" s="243"/>
      <c r="L166" t="s">
        <v>4</v>
      </c>
    </row>
    <row r="167" spans="1:12" ht="12.75" customHeight="1" x14ac:dyDescent="0.25">
      <c r="A167" s="19" t="s">
        <v>221</v>
      </c>
      <c r="B167" s="54"/>
      <c r="C167" s="255">
        <f>'Calculs détaillés'!E53</f>
        <v>-37377.388795230116</v>
      </c>
      <c r="D167" s="256" t="s">
        <v>4</v>
      </c>
      <c r="E167" s="238" t="s">
        <v>222</v>
      </c>
      <c r="F167" s="239"/>
      <c r="G167" s="239"/>
      <c r="H167" s="240"/>
      <c r="I167" s="241"/>
      <c r="J167" s="242"/>
      <c r="K167" s="243"/>
      <c r="L167" t="s">
        <v>4</v>
      </c>
    </row>
    <row r="168" spans="1:12" ht="14.7" customHeight="1" x14ac:dyDescent="0.25">
      <c r="A168" s="19" t="s">
        <v>223</v>
      </c>
      <c r="B168" s="54"/>
      <c r="C168" s="255">
        <v>0</v>
      </c>
      <c r="D168" s="256"/>
      <c r="E168" s="238" t="s">
        <v>224</v>
      </c>
      <c r="F168" s="239"/>
      <c r="G168" s="239"/>
      <c r="H168" s="240"/>
      <c r="I168" s="241"/>
      <c r="J168" s="242"/>
      <c r="K168" s="243"/>
    </row>
    <row r="169" spans="1:12" ht="14.7" customHeight="1" x14ac:dyDescent="0.25">
      <c r="A169" s="19" t="s">
        <v>138</v>
      </c>
      <c r="B169" s="54"/>
      <c r="C169" s="255">
        <f>'Calculs détaillés'!I53</f>
        <v>0</v>
      </c>
      <c r="D169" s="256"/>
      <c r="E169" s="238" t="s">
        <v>139</v>
      </c>
      <c r="F169" s="239"/>
      <c r="G169" s="239"/>
      <c r="H169" s="240"/>
      <c r="I169" s="241"/>
      <c r="J169" s="242"/>
      <c r="K169" s="243"/>
    </row>
    <row r="170" spans="1:12" ht="12.75" customHeight="1" x14ac:dyDescent="0.25">
      <c r="A170" s="149" t="s">
        <v>225</v>
      </c>
      <c r="B170" s="150"/>
      <c r="C170" s="261">
        <f>SUM(C162:C169)</f>
        <v>1304997.3357516569</v>
      </c>
      <c r="D170" s="262" t="s">
        <v>4</v>
      </c>
      <c r="E170" s="238" t="s">
        <v>226</v>
      </c>
      <c r="F170" s="239"/>
      <c r="G170" s="239"/>
      <c r="H170" s="240"/>
      <c r="I170" s="241"/>
      <c r="J170" s="242"/>
      <c r="K170" s="243"/>
    </row>
    <row r="171" spans="1:12" ht="12.75" customHeight="1" x14ac:dyDescent="0.25">
      <c r="A171" s="263"/>
      <c r="B171" s="264"/>
      <c r="C171" s="265"/>
      <c r="D171" s="266"/>
      <c r="E171" s="230" t="s">
        <v>227</v>
      </c>
      <c r="F171" s="267"/>
      <c r="G171" s="267"/>
      <c r="H171" s="232"/>
      <c r="I171" s="253"/>
      <c r="J171" s="234"/>
      <c r="K171" s="254"/>
    </row>
    <row r="172" spans="1:12" ht="12.75" customHeight="1" x14ac:dyDescent="0.25">
      <c r="A172" s="132" t="s">
        <v>228</v>
      </c>
      <c r="B172" s="54"/>
      <c r="C172" s="244"/>
      <c r="D172" s="248">
        <f>D160-C170</f>
        <v>5547640.6715551559</v>
      </c>
      <c r="E172" s="238"/>
      <c r="F172" s="239"/>
      <c r="G172" s="239"/>
      <c r="H172" s="240"/>
      <c r="I172" s="241"/>
      <c r="J172" s="268" t="s">
        <v>4</v>
      </c>
      <c r="K172" s="269" t="s">
        <v>4</v>
      </c>
    </row>
    <row r="173" spans="1:12" ht="12.75" customHeight="1" x14ac:dyDescent="0.25">
      <c r="A173" s="132" t="s">
        <v>229</v>
      </c>
      <c r="B173" s="270"/>
      <c r="C173" s="271"/>
      <c r="D173" s="248">
        <f>'Calculs détaillés'!AU53</f>
        <v>430656.07532344275</v>
      </c>
      <c r="E173" s="238" t="s">
        <v>230</v>
      </c>
      <c r="F173" s="239"/>
      <c r="G173" s="239"/>
      <c r="H173" s="240"/>
      <c r="I173" s="241"/>
      <c r="J173" s="268"/>
      <c r="K173" s="269"/>
    </row>
    <row r="174" spans="1:12" ht="12.75" customHeight="1" x14ac:dyDescent="0.25">
      <c r="A174" s="132" t="s">
        <v>231</v>
      </c>
      <c r="B174" s="54"/>
      <c r="C174" s="244"/>
      <c r="D174" s="248">
        <f>D172+D173</f>
        <v>5978296.7468785988</v>
      </c>
      <c r="E174" s="238"/>
      <c r="F174" s="239"/>
      <c r="G174" s="239"/>
      <c r="H174" s="240"/>
      <c r="I174" s="241"/>
      <c r="J174" s="268"/>
      <c r="K174" s="269"/>
    </row>
    <row r="175" spans="1:12" ht="12.75" customHeight="1" x14ac:dyDescent="0.25">
      <c r="A175" s="249"/>
      <c r="B175" s="264"/>
      <c r="C175" s="251"/>
      <c r="D175" s="266"/>
      <c r="E175" s="230" t="s">
        <v>232</v>
      </c>
      <c r="F175" s="267"/>
      <c r="G175" s="267"/>
      <c r="H175" s="232"/>
      <c r="I175" s="253"/>
      <c r="J175" s="234"/>
      <c r="K175" s="254"/>
    </row>
    <row r="176" spans="1:12" ht="12.75" customHeight="1" x14ac:dyDescent="0.25">
      <c r="A176" s="132" t="s">
        <v>233</v>
      </c>
      <c r="B176" s="54"/>
      <c r="C176" s="244"/>
      <c r="D176" s="248"/>
      <c r="E176" s="230" t="s">
        <v>234</v>
      </c>
      <c r="F176" s="231"/>
      <c r="G176" s="231"/>
      <c r="H176" s="272"/>
      <c r="I176" s="273"/>
      <c r="J176" s="274"/>
      <c r="K176" s="275"/>
    </row>
    <row r="177" spans="1:11" ht="12.75" customHeight="1" x14ac:dyDescent="0.25">
      <c r="A177" s="19" t="s">
        <v>235</v>
      </c>
      <c r="B177" s="276"/>
      <c r="C177" s="260">
        <f>D122</f>
        <v>2000000</v>
      </c>
      <c r="D177" s="256">
        <f>C177/C183</f>
        <v>0.83539425084310259</v>
      </c>
      <c r="E177" s="238" t="s">
        <v>236</v>
      </c>
      <c r="F177" s="239"/>
      <c r="G177" s="239"/>
      <c r="H177" s="240"/>
      <c r="I177" s="241"/>
      <c r="J177" s="242"/>
      <c r="K177" s="243"/>
    </row>
    <row r="178" spans="1:11" ht="12.75" customHeight="1" x14ac:dyDescent="0.25">
      <c r="A178" s="19" t="s">
        <v>237</v>
      </c>
      <c r="B178" s="276"/>
      <c r="C178" s="255">
        <f>'Calculs détaillés'!AQ53</f>
        <v>384467.5124951941</v>
      </c>
      <c r="D178" s="256">
        <f>C178/C183</f>
        <v>0.16059097478721693</v>
      </c>
      <c r="E178" s="238" t="s">
        <v>238</v>
      </c>
      <c r="F178" s="239"/>
      <c r="G178" s="239"/>
      <c r="H178" s="240"/>
      <c r="I178" s="241"/>
      <c r="J178" s="242"/>
      <c r="K178" s="243"/>
    </row>
    <row r="179" spans="1:11" ht="12.75" customHeight="1" x14ac:dyDescent="0.25">
      <c r="A179" s="19" t="s">
        <v>239</v>
      </c>
      <c r="B179" s="276"/>
      <c r="C179" s="255">
        <f>'Calculs détaillés'!AR53</f>
        <v>9611.6878123798542</v>
      </c>
      <c r="D179" s="256">
        <f>C179/C183</f>
        <v>4.0147743696804239E-3</v>
      </c>
      <c r="E179" s="238" t="s">
        <v>240</v>
      </c>
      <c r="F179" s="239"/>
      <c r="G179" s="239"/>
      <c r="H179" s="240"/>
      <c r="I179" s="241"/>
      <c r="J179" s="242"/>
      <c r="K179" s="243"/>
    </row>
    <row r="180" spans="1:11" ht="12.75" customHeight="1" x14ac:dyDescent="0.25">
      <c r="A180" s="3" t="s">
        <v>241</v>
      </c>
      <c r="C180" s="277">
        <v>0</v>
      </c>
      <c r="D180" s="278">
        <f>C180/C183</f>
        <v>0</v>
      </c>
      <c r="E180" s="238" t="s">
        <v>242</v>
      </c>
      <c r="F180" s="61"/>
      <c r="G180" s="61"/>
      <c r="H180" s="61"/>
      <c r="I180" s="61"/>
      <c r="J180" s="61"/>
      <c r="K180" s="188"/>
    </row>
    <row r="181" spans="1:11" ht="12.75" customHeight="1" x14ac:dyDescent="0.25">
      <c r="A181" s="3" t="s">
        <v>243</v>
      </c>
      <c r="C181" s="277">
        <v>0</v>
      </c>
      <c r="D181" s="278">
        <v>0</v>
      </c>
      <c r="E181" s="238" t="s">
        <v>244</v>
      </c>
      <c r="F181" s="61"/>
      <c r="G181" s="61"/>
      <c r="H181" s="61"/>
      <c r="I181" s="61"/>
      <c r="J181" s="61"/>
      <c r="K181" s="188"/>
    </row>
    <row r="182" spans="1:11" ht="12.75" customHeight="1" x14ac:dyDescent="0.25">
      <c r="A182" s="3" t="s">
        <v>245</v>
      </c>
      <c r="C182" s="277">
        <v>0</v>
      </c>
      <c r="D182" s="278">
        <v>0</v>
      </c>
      <c r="E182" s="238" t="s">
        <v>246</v>
      </c>
      <c r="F182" s="61"/>
      <c r="G182" s="61"/>
      <c r="H182" s="61"/>
      <c r="I182" s="61"/>
      <c r="J182" s="61"/>
      <c r="K182" s="188"/>
    </row>
    <row r="183" spans="1:11" ht="12.75" customHeight="1" x14ac:dyDescent="0.25">
      <c r="A183" s="149" t="s">
        <v>247</v>
      </c>
      <c r="B183" s="150"/>
      <c r="C183" s="279">
        <f>SUM(C177:C182)</f>
        <v>2394079.2003075741</v>
      </c>
      <c r="D183" s="256" t="s">
        <v>4</v>
      </c>
      <c r="E183" s="189"/>
      <c r="F183" s="280"/>
      <c r="G183" s="280"/>
      <c r="H183" s="192"/>
      <c r="I183" s="281"/>
      <c r="J183" s="194"/>
      <c r="K183" s="282"/>
    </row>
    <row r="184" spans="1:11" ht="12.75" customHeight="1" x14ac:dyDescent="0.25">
      <c r="A184" s="249" t="s">
        <v>4</v>
      </c>
      <c r="B184" s="264"/>
      <c r="C184" s="283"/>
      <c r="D184" s="284"/>
      <c r="E184" s="203"/>
      <c r="F184" s="285"/>
      <c r="G184" s="285"/>
      <c r="H184" s="205"/>
      <c r="I184" s="286"/>
      <c r="J184" s="207"/>
      <c r="K184" s="287"/>
    </row>
    <row r="185" spans="1:11" ht="12.75" customHeight="1" x14ac:dyDescent="0.25">
      <c r="A185" s="149" t="s">
        <v>248</v>
      </c>
      <c r="B185" s="150"/>
      <c r="C185" s="221"/>
      <c r="D185" s="248">
        <f>D174-C183</f>
        <v>3584217.5465710247</v>
      </c>
      <c r="E185" s="203"/>
      <c r="F185" s="285"/>
      <c r="G185" s="285"/>
      <c r="H185" s="205"/>
      <c r="I185" s="286"/>
      <c r="J185" s="207"/>
      <c r="K185" s="287"/>
    </row>
    <row r="186" spans="1:11" ht="12.75" customHeight="1" x14ac:dyDescent="0.25">
      <c r="A186" s="249"/>
      <c r="B186" s="264"/>
      <c r="C186" s="288"/>
      <c r="D186" s="266" t="s">
        <v>4</v>
      </c>
      <c r="E186" s="203"/>
      <c r="F186" s="285"/>
      <c r="G186" s="285"/>
      <c r="H186" s="205"/>
      <c r="I186" s="286"/>
      <c r="J186" s="207"/>
      <c r="K186" s="287"/>
    </row>
    <row r="187" spans="1:11" ht="12.75" customHeight="1" x14ac:dyDescent="0.25">
      <c r="A187" s="149"/>
      <c r="B187" s="150"/>
      <c r="C187" s="221"/>
      <c r="D187" s="248"/>
      <c r="E187" s="203" t="s">
        <v>249</v>
      </c>
      <c r="F187" s="35"/>
      <c r="G187" s="35"/>
      <c r="H187" s="35"/>
      <c r="I187" s="35"/>
      <c r="J187" s="35"/>
      <c r="K187" s="287"/>
    </row>
    <row r="188" spans="1:11" ht="12.75" customHeight="1" x14ac:dyDescent="0.25">
      <c r="A188" s="132" t="s">
        <v>250</v>
      </c>
      <c r="B188" s="54"/>
      <c r="C188" s="50"/>
      <c r="D188" s="289">
        <f>D185</f>
        <v>3584217.5465710247</v>
      </c>
      <c r="E188" s="189" t="s">
        <v>251</v>
      </c>
      <c r="F188" s="280"/>
      <c r="G188" s="280"/>
      <c r="H188" s="192"/>
      <c r="I188" s="281"/>
      <c r="J188" s="194"/>
      <c r="K188" s="290"/>
    </row>
    <row r="189" spans="1:11" ht="12.75" customHeight="1" x14ac:dyDescent="0.25">
      <c r="A189" s="132"/>
      <c r="B189" s="54"/>
      <c r="C189" s="50"/>
      <c r="D189" s="291"/>
      <c r="E189" s="189" t="s">
        <v>252</v>
      </c>
      <c r="F189" s="280"/>
      <c r="G189" s="280"/>
      <c r="H189" s="192"/>
      <c r="I189" s="281"/>
      <c r="J189" s="194"/>
      <c r="K189" s="290"/>
    </row>
    <row r="190" spans="1:11" ht="12.75" customHeight="1" x14ac:dyDescent="0.25">
      <c r="A190" s="132"/>
      <c r="B190" s="54"/>
      <c r="C190" s="55"/>
      <c r="D190" s="292"/>
      <c r="E190" s="189" t="s">
        <v>253</v>
      </c>
      <c r="F190" s="191"/>
      <c r="G190" s="191"/>
      <c r="H190" s="192"/>
      <c r="I190" s="193"/>
      <c r="J190" s="194"/>
      <c r="K190" s="293">
        <f>'Calculs détaillés'!AS54</f>
        <v>9576.3168012302976</v>
      </c>
    </row>
    <row r="191" spans="1:11" ht="12.75" customHeight="1" x14ac:dyDescent="0.25">
      <c r="A191" s="132" t="s">
        <v>254</v>
      </c>
      <c r="B191" s="54"/>
      <c r="C191" s="55"/>
      <c r="D191" s="294">
        <f>IF(D188&lt;0,IF(ABS(D188)&lt;K190,D188,0),0)</f>
        <v>0</v>
      </c>
      <c r="E191" s="185" t="s">
        <v>255</v>
      </c>
      <c r="F191" s="191"/>
      <c r="G191" s="191"/>
      <c r="H191" s="192"/>
      <c r="I191" s="193"/>
      <c r="J191" s="194"/>
      <c r="K191" s="295"/>
    </row>
    <row r="192" spans="1:11" ht="12.75" customHeight="1" x14ac:dyDescent="0.25">
      <c r="A192" s="132" t="s">
        <v>256</v>
      </c>
      <c r="B192" s="54"/>
      <c r="C192" s="50"/>
      <c r="D192" s="296">
        <f>C183/D174</f>
        <v>0.40046175385281368</v>
      </c>
      <c r="E192" s="297" t="s">
        <v>257</v>
      </c>
      <c r="F192" s="280"/>
      <c r="G192" s="280"/>
      <c r="H192" s="192"/>
      <c r="I192" s="281"/>
      <c r="J192" s="194"/>
      <c r="K192" s="282"/>
    </row>
    <row r="193" spans="1:12" ht="12.75" customHeight="1" x14ac:dyDescent="0.25">
      <c r="A193" s="132" t="s">
        <v>258</v>
      </c>
      <c r="B193" s="54"/>
      <c r="C193" s="50"/>
      <c r="D193" s="296">
        <f>D121/D174</f>
        <v>0.13381737874047447</v>
      </c>
      <c r="E193" s="189" t="s">
        <v>259</v>
      </c>
      <c r="F193" s="280"/>
      <c r="G193" s="280"/>
      <c r="H193" s="192"/>
      <c r="I193" s="281"/>
      <c r="J193" s="194"/>
      <c r="K193" s="282"/>
    </row>
    <row r="194" spans="1:12" ht="12.75" customHeight="1" x14ac:dyDescent="0.25">
      <c r="A194" s="132" t="s">
        <v>260</v>
      </c>
      <c r="B194" s="54"/>
      <c r="C194" s="50"/>
      <c r="D194" s="296">
        <f>D121/C183</f>
        <v>0.33415770033724101</v>
      </c>
      <c r="E194" s="189" t="s">
        <v>261</v>
      </c>
      <c r="F194" s="280"/>
      <c r="G194" s="280"/>
      <c r="H194" s="192"/>
      <c r="I194" s="281"/>
      <c r="J194" s="194"/>
      <c r="K194" s="282"/>
    </row>
    <row r="195" spans="1:12" ht="12.75" customHeight="1" x14ac:dyDescent="0.25">
      <c r="A195" t="s">
        <v>4</v>
      </c>
      <c r="B195" s="54"/>
      <c r="C195" s="55"/>
      <c r="D195" s="292"/>
      <c r="E195" s="298"/>
      <c r="F195" s="299"/>
      <c r="G195" s="299"/>
      <c r="H195" s="300"/>
      <c r="I195" s="301"/>
      <c r="J195" s="302"/>
      <c r="K195" s="303"/>
    </row>
    <row r="196" spans="1:12" ht="12.75" customHeight="1" x14ac:dyDescent="0.25">
      <c r="A196" s="2" t="s">
        <v>262</v>
      </c>
      <c r="B196" s="2"/>
      <c r="C196" s="2"/>
      <c r="D196" s="2"/>
      <c r="E196" s="2"/>
    </row>
    <row r="197" spans="1:12" ht="12.75" customHeight="1" x14ac:dyDescent="0.25">
      <c r="A197" s="304" t="s">
        <v>4</v>
      </c>
      <c r="B197" s="304"/>
      <c r="C197" s="304"/>
      <c r="D197" s="304" t="s">
        <v>4</v>
      </c>
      <c r="E197" s="305" t="s">
        <v>4</v>
      </c>
      <c r="F197" s="305"/>
      <c r="G197" s="305"/>
      <c r="H197" s="305"/>
      <c r="I197" s="305"/>
      <c r="J197" s="304"/>
      <c r="K197" s="304"/>
      <c r="L197" s="1"/>
    </row>
    <row r="198" spans="1:12" ht="12.75" customHeight="1" x14ac:dyDescent="0.25">
      <c r="A198" s="304" t="s">
        <v>4</v>
      </c>
      <c r="B198" s="304"/>
      <c r="C198" s="304"/>
      <c r="D198" s="304" t="s">
        <v>4</v>
      </c>
      <c r="E198" s="305" t="s">
        <v>4</v>
      </c>
      <c r="F198" s="305"/>
      <c r="G198" s="305"/>
      <c r="H198" s="305"/>
      <c r="I198" s="305"/>
      <c r="J198" s="304"/>
      <c r="K198" s="304"/>
      <c r="L198" s="1"/>
    </row>
    <row r="199" spans="1:12" ht="12.75" customHeight="1" x14ac:dyDescent="0.25">
      <c r="A199" s="306" t="s">
        <v>4</v>
      </c>
      <c r="B199" s="306"/>
      <c r="C199" s="306"/>
      <c r="D199" s="306" t="s">
        <v>4</v>
      </c>
      <c r="E199" s="304"/>
      <c r="F199" s="304"/>
      <c r="G199" s="304"/>
      <c r="H199" s="304"/>
      <c r="I199" s="304"/>
      <c r="J199" s="304"/>
      <c r="K199" s="304"/>
    </row>
  </sheetData>
  <sheetProtection selectLockedCells="1" selectUnlockedCells="1"/>
  <mergeCells count="28">
    <mergeCell ref="E137:K137"/>
    <mergeCell ref="A141:B141"/>
    <mergeCell ref="A158:B158"/>
    <mergeCell ref="E158:J158"/>
    <mergeCell ref="A159:B159"/>
    <mergeCell ref="A166:B166"/>
    <mergeCell ref="E99:J99"/>
    <mergeCell ref="E100:J100"/>
    <mergeCell ref="A119:B119"/>
    <mergeCell ref="A125:C125"/>
    <mergeCell ref="J125:J128"/>
    <mergeCell ref="K125:K128"/>
    <mergeCell ref="I126:I128"/>
    <mergeCell ref="E75:I75"/>
    <mergeCell ref="E83:J83"/>
    <mergeCell ref="E97:J97"/>
    <mergeCell ref="C53:K53"/>
    <mergeCell ref="D62:F62"/>
    <mergeCell ref="A65:C65"/>
    <mergeCell ref="C71:H71"/>
    <mergeCell ref="A73:C73"/>
    <mergeCell ref="E73:K73"/>
    <mergeCell ref="A1:B1"/>
    <mergeCell ref="A2:K2"/>
    <mergeCell ref="A4:K4"/>
    <mergeCell ref="A5:K5"/>
    <mergeCell ref="C50:K50"/>
    <mergeCell ref="C51:K51"/>
  </mergeCells>
  <hyperlinks>
    <hyperlink ref="C14" r:id="rId1" xr:uid="{7CDAF68C-3A51-4191-AAF9-BC5AB9AE7E95}"/>
    <hyperlink ref="C19" r:id="rId2" xr:uid="{7A315115-E6E8-43D3-857A-5FB03A540B48}"/>
    <hyperlink ref="C21" r:id="rId3" xr:uid="{089BDE02-88EA-4401-BD85-9DE62600FD7D}"/>
    <hyperlink ref="C31" r:id="rId4" xr:uid="{D02A4090-D495-4A30-9E0D-E9931FC6CBDA}"/>
    <hyperlink ref="C32" r:id="rId5" location="LEGIARTI000006825180" xr:uid="{B888CF2F-F211-4247-B4A3-022B0915C0A4}"/>
    <hyperlink ref="C33" r:id="rId6" location="LEGIARTI000021393710" xr:uid="{47B8E155-ED4F-4D0F-9472-B2D8DA9F9DF3}"/>
    <hyperlink ref="C34" r:id="rId7" location="LEGIARTI000006899037" xr:uid="{5E3C81C1-E244-437C-90D7-F2A75F545547}"/>
    <hyperlink ref="C35" r:id="rId8" xr:uid="{252523EF-F03C-4AB1-83D0-D85E3F53BB70}"/>
    <hyperlink ref="K83" r:id="rId9" xr:uid="{B61887D1-92E9-437B-8581-D6BBA6822A12}"/>
    <hyperlink ref="K92" r:id="rId10" xr:uid="{B71E967B-6702-416E-A23B-D14FBDF75F5D}"/>
    <hyperlink ref="K93" r:id="rId11" xr:uid="{C2C24EF3-A9DC-4435-AD3D-6885CCC4485E}"/>
    <hyperlink ref="K141" r:id="rId12" xr:uid="{A187BB5F-8A82-4D3E-B2F6-95B5271DF1EF}"/>
    <hyperlink ref="K143" r:id="rId13" xr:uid="{CCF0C1E6-A333-453C-9D6A-F07091605E10}"/>
    <hyperlink ref="K145" r:id="rId14" xr:uid="{5C29E4C5-FAFF-4C66-951A-60EBEE922618}"/>
    <hyperlink ref="K146" r:id="rId15" xr:uid="{77422B6E-1333-46E8-A28A-39586C2266E3}"/>
    <hyperlink ref="K147" r:id="rId16" xr:uid="{3A4DDC07-56A3-4314-AEE6-9686121089E2}"/>
    <hyperlink ref="K148" r:id="rId17" xr:uid="{275856BA-917F-49A3-8443-6C74D300C421}"/>
  </hyperlinks>
  <printOptions horizontalCentered="1" verticalCentered="1"/>
  <pageMargins left="0.19652777777777777" right="0.19652777777777777" top="0.78749999999999998" bottom="0.78749999999999998" header="0.51180555555555551" footer="0.51180555555555551"/>
  <pageSetup paperSize="9" scale="44" firstPageNumber="0" orientation="portrait" r:id="rId18"/>
  <headerFooter alignWithMargins="0"/>
  <rowBreaks count="2" manualBreakCount="2">
    <brk id="107" max="16383" man="1"/>
    <brk id="1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7F722-587B-4FE5-BBB3-549ED0692A23}">
  <dimension ref="A2:S104"/>
  <sheetViews>
    <sheetView workbookViewId="0">
      <selection activeCell="D21" sqref="D21"/>
    </sheetView>
  </sheetViews>
  <sheetFormatPr baseColWidth="10" defaultRowHeight="13.2" x14ac:dyDescent="0.25"/>
  <cols>
    <col min="1" max="1" width="16.109375" customWidth="1"/>
    <col min="2" max="2" width="14" customWidth="1"/>
    <col min="4" max="4" width="14.109375" customWidth="1"/>
    <col min="5" max="5" width="5.6640625" customWidth="1"/>
    <col min="6" max="6" width="16.109375" customWidth="1"/>
    <col min="7" max="7" width="14" customWidth="1"/>
    <col min="9" max="9" width="14.109375" customWidth="1"/>
    <col min="10" max="10" width="5.6640625" customWidth="1"/>
    <col min="11" max="11" width="16.109375" customWidth="1"/>
    <col min="12" max="12" width="14" customWidth="1"/>
    <col min="14" max="14" width="14.109375" customWidth="1"/>
    <col min="15" max="15" width="5.6640625" customWidth="1"/>
    <col min="16" max="16" width="16.109375" customWidth="1"/>
    <col min="17" max="17" width="14" customWidth="1"/>
    <col min="19" max="19" width="14.109375" customWidth="1"/>
    <col min="20" max="20" width="5.6640625" customWidth="1"/>
  </cols>
  <sheetData>
    <row r="2" spans="1:19" x14ac:dyDescent="0.25">
      <c r="A2" s="541" t="s">
        <v>442</v>
      </c>
      <c r="B2" s="78"/>
      <c r="C2" s="542" t="s">
        <v>443</v>
      </c>
      <c r="D2" s="543"/>
      <c r="F2" s="541" t="s">
        <v>444</v>
      </c>
      <c r="G2" s="78"/>
      <c r="H2" s="542" t="s">
        <v>443</v>
      </c>
      <c r="I2" s="543"/>
      <c r="K2" s="541" t="s">
        <v>445</v>
      </c>
      <c r="L2" s="78"/>
      <c r="M2" s="542" t="s">
        <v>443</v>
      </c>
      <c r="N2" s="543"/>
      <c r="P2" s="541" t="s">
        <v>446</v>
      </c>
      <c r="Q2" s="78"/>
      <c r="R2" s="542" t="s">
        <v>443</v>
      </c>
      <c r="S2" s="543"/>
    </row>
    <row r="3" spans="1:19" x14ac:dyDescent="0.25">
      <c r="A3" s="544"/>
      <c r="B3" s="106"/>
      <c r="C3" s="79"/>
      <c r="D3" s="76"/>
      <c r="F3" s="544"/>
      <c r="G3" s="106"/>
      <c r="H3" s="79"/>
      <c r="I3" s="76"/>
      <c r="K3" s="544"/>
      <c r="L3" s="106"/>
      <c r="M3" s="79"/>
      <c r="N3" s="76"/>
      <c r="P3" s="544"/>
      <c r="Q3" s="106"/>
      <c r="R3" s="79"/>
      <c r="S3" s="76"/>
    </row>
    <row r="4" spans="1:19" x14ac:dyDescent="0.25">
      <c r="A4" s="544"/>
      <c r="B4" s="106"/>
      <c r="C4" s="55" t="s">
        <v>88</v>
      </c>
      <c r="D4" s="545">
        <v>352</v>
      </c>
      <c r="F4" s="544"/>
      <c r="G4" s="106"/>
      <c r="H4" s="55" t="s">
        <v>88</v>
      </c>
      <c r="I4" s="545"/>
      <c r="K4" s="544"/>
      <c r="L4" s="106"/>
      <c r="M4" s="55" t="s">
        <v>88</v>
      </c>
      <c r="N4" s="545"/>
      <c r="P4" s="544"/>
      <c r="Q4" s="106"/>
      <c r="R4" s="55" t="s">
        <v>88</v>
      </c>
      <c r="S4" s="545"/>
    </row>
    <row r="5" spans="1:19" x14ac:dyDescent="0.25">
      <c r="A5" s="544"/>
      <c r="B5" s="106"/>
      <c r="C5" s="55" t="s">
        <v>447</v>
      </c>
      <c r="D5" s="546">
        <v>15354</v>
      </c>
      <c r="F5" s="544"/>
      <c r="G5" s="106"/>
      <c r="H5" s="55" t="s">
        <v>447</v>
      </c>
      <c r="I5" s="546"/>
      <c r="K5" s="544"/>
      <c r="L5" s="106"/>
      <c r="M5" s="55" t="s">
        <v>447</v>
      </c>
      <c r="N5" s="546"/>
      <c r="P5" s="544"/>
      <c r="Q5" s="106"/>
      <c r="R5" s="55" t="s">
        <v>447</v>
      </c>
      <c r="S5" s="546"/>
    </row>
    <row r="6" spans="1:19" x14ac:dyDescent="0.25">
      <c r="A6" s="544"/>
      <c r="B6" s="106"/>
      <c r="C6" s="55" t="s">
        <v>448</v>
      </c>
      <c r="D6" s="546">
        <v>8592</v>
      </c>
      <c r="F6" s="544"/>
      <c r="G6" s="106"/>
      <c r="H6" s="55" t="s">
        <v>448</v>
      </c>
      <c r="I6" s="546"/>
      <c r="K6" s="544"/>
      <c r="L6" s="106"/>
      <c r="M6" s="55" t="s">
        <v>448</v>
      </c>
      <c r="N6" s="546"/>
      <c r="P6" s="544"/>
      <c r="Q6" s="106"/>
      <c r="R6" s="55" t="s">
        <v>448</v>
      </c>
      <c r="S6" s="546"/>
    </row>
    <row r="7" spans="1:19" x14ac:dyDescent="0.25">
      <c r="A7" s="544"/>
      <c r="B7" s="106"/>
      <c r="C7" s="79"/>
      <c r="D7" s="76"/>
      <c r="F7" s="544"/>
      <c r="G7" s="106"/>
      <c r="H7" s="79"/>
      <c r="I7" s="76"/>
      <c r="K7" s="544"/>
      <c r="L7" s="106"/>
      <c r="M7" s="79"/>
      <c r="N7" s="76"/>
      <c r="P7" s="544"/>
      <c r="Q7" s="106"/>
      <c r="R7" s="79"/>
      <c r="S7" s="76"/>
    </row>
    <row r="8" spans="1:19" x14ac:dyDescent="0.25">
      <c r="A8" s="547"/>
      <c r="B8" s="548"/>
      <c r="C8" s="549" t="s">
        <v>97</v>
      </c>
      <c r="D8" s="76"/>
      <c r="F8" s="547"/>
      <c r="G8" s="548"/>
      <c r="H8" s="549" t="s">
        <v>97</v>
      </c>
      <c r="I8" s="76"/>
      <c r="K8" s="547"/>
      <c r="L8" s="548"/>
      <c r="M8" s="549" t="s">
        <v>97</v>
      </c>
      <c r="N8" s="76"/>
      <c r="P8" s="547"/>
      <c r="Q8" s="548"/>
      <c r="R8" s="549" t="s">
        <v>97</v>
      </c>
      <c r="S8" s="76"/>
    </row>
    <row r="9" spans="1:19" x14ac:dyDescent="0.25">
      <c r="A9" s="53"/>
      <c r="B9" s="550"/>
      <c r="C9" s="82" t="s">
        <v>98</v>
      </c>
      <c r="D9" s="75">
        <v>51.672899999999998</v>
      </c>
      <c r="F9" s="53"/>
      <c r="G9" s="550"/>
      <c r="H9" s="82" t="s">
        <v>98</v>
      </c>
      <c r="I9" s="75"/>
      <c r="K9" s="53"/>
      <c r="L9" s="550"/>
      <c r="M9" s="82" t="s">
        <v>98</v>
      </c>
      <c r="N9" s="75"/>
      <c r="P9" s="53"/>
      <c r="Q9" s="550"/>
      <c r="R9" s="82" t="s">
        <v>98</v>
      </c>
      <c r="S9" s="75"/>
    </row>
    <row r="10" spans="1:19" x14ac:dyDescent="0.25">
      <c r="A10" s="53"/>
      <c r="B10" s="54"/>
      <c r="C10" s="74" t="s">
        <v>101</v>
      </c>
      <c r="D10" s="86">
        <v>5.0000000000000001E-3</v>
      </c>
      <c r="F10" s="53"/>
      <c r="G10" s="54"/>
      <c r="H10" s="74" t="s">
        <v>101</v>
      </c>
      <c r="I10" s="86"/>
      <c r="K10" s="53"/>
      <c r="L10" s="54"/>
      <c r="M10" s="74" t="s">
        <v>101</v>
      </c>
      <c r="N10" s="86"/>
      <c r="P10" s="53"/>
      <c r="Q10" s="54"/>
      <c r="R10" s="74" t="s">
        <v>101</v>
      </c>
      <c r="S10" s="86"/>
    </row>
    <row r="11" spans="1:19" x14ac:dyDescent="0.25">
      <c r="A11" s="53"/>
      <c r="B11" s="513" t="s">
        <v>102</v>
      </c>
      <c r="C11" s="513"/>
      <c r="D11" s="87">
        <v>51.36</v>
      </c>
      <c r="F11" s="53"/>
      <c r="G11" s="513" t="s">
        <v>102</v>
      </c>
      <c r="H11" s="513"/>
      <c r="I11" s="87"/>
      <c r="K11" s="53"/>
      <c r="L11" s="513" t="s">
        <v>102</v>
      </c>
      <c r="M11" s="513"/>
      <c r="N11" s="87"/>
      <c r="P11" s="53"/>
      <c r="Q11" s="513" t="s">
        <v>102</v>
      </c>
      <c r="R11" s="513"/>
      <c r="S11" s="87"/>
    </row>
    <row r="12" spans="1:19" x14ac:dyDescent="0.25">
      <c r="A12" s="53"/>
      <c r="B12" s="54"/>
      <c r="C12" s="74" t="s">
        <v>103</v>
      </c>
      <c r="D12" s="89">
        <f>(D11*D10)+D11</f>
        <v>51.616799999999998</v>
      </c>
      <c r="F12" s="53"/>
      <c r="G12" s="54"/>
      <c r="H12" s="74" t="s">
        <v>103</v>
      </c>
      <c r="I12" s="89">
        <f>(I11*I10)+I11</f>
        <v>0</v>
      </c>
      <c r="K12" s="53"/>
      <c r="L12" s="54"/>
      <c r="M12" s="74" t="s">
        <v>103</v>
      </c>
      <c r="N12" s="89">
        <f>(N11*N10)+N11</f>
        <v>0</v>
      </c>
      <c r="P12" s="53"/>
      <c r="Q12" s="54"/>
      <c r="R12" s="74" t="s">
        <v>103</v>
      </c>
      <c r="S12" s="89">
        <f>(S11*S10)+S11</f>
        <v>0</v>
      </c>
    </row>
    <row r="13" spans="1:19" x14ac:dyDescent="0.25">
      <c r="A13" s="53"/>
      <c r="B13" s="54"/>
      <c r="C13" s="74" t="s">
        <v>104</v>
      </c>
      <c r="D13" s="91">
        <f>+D12-D11</f>
        <v>0.25679999999999836</v>
      </c>
      <c r="F13" s="53"/>
      <c r="G13" s="54"/>
      <c r="H13" s="74" t="s">
        <v>104</v>
      </c>
      <c r="I13" s="91">
        <f>+I12-I11</f>
        <v>0</v>
      </c>
      <c r="K13" s="53"/>
      <c r="L13" s="54"/>
      <c r="M13" s="74" t="s">
        <v>104</v>
      </c>
      <c r="N13" s="91">
        <f>+N12-N11</f>
        <v>0</v>
      </c>
      <c r="P13" s="53"/>
      <c r="Q13" s="54"/>
      <c r="R13" s="74" t="s">
        <v>104</v>
      </c>
      <c r="S13" s="91">
        <f>+S12-S11</f>
        <v>0</v>
      </c>
    </row>
    <row r="14" spans="1:19" x14ac:dyDescent="0.25">
      <c r="A14" s="53"/>
      <c r="B14" s="54"/>
      <c r="C14" s="74" t="s">
        <v>105</v>
      </c>
      <c r="D14" s="91">
        <f>D13*D5</f>
        <v>3942.9071999999751</v>
      </c>
      <c r="F14" s="53"/>
      <c r="G14" s="54"/>
      <c r="H14" s="74" t="s">
        <v>105</v>
      </c>
      <c r="I14" s="91">
        <f>I13*I5</f>
        <v>0</v>
      </c>
      <c r="K14" s="53"/>
      <c r="L14" s="54"/>
      <c r="M14" s="74" t="s">
        <v>105</v>
      </c>
      <c r="N14" s="91">
        <f>N13*N5</f>
        <v>0</v>
      </c>
      <c r="P14" s="53"/>
      <c r="Q14" s="54"/>
      <c r="R14" s="74" t="s">
        <v>105</v>
      </c>
      <c r="S14" s="91">
        <f>S13*S5</f>
        <v>0</v>
      </c>
    </row>
    <row r="15" spans="1:19" x14ac:dyDescent="0.25">
      <c r="A15" s="53"/>
      <c r="B15" s="54"/>
      <c r="C15" s="55"/>
      <c r="D15" s="92"/>
      <c r="F15" s="53"/>
      <c r="G15" s="54"/>
      <c r="H15" s="55"/>
      <c r="I15" s="92"/>
      <c r="K15" s="53"/>
      <c r="L15" s="54"/>
      <c r="M15" s="55"/>
      <c r="N15" s="92"/>
      <c r="P15" s="53"/>
      <c r="Q15" s="54"/>
      <c r="R15" s="55"/>
      <c r="S15" s="92"/>
    </row>
    <row r="16" spans="1:19" x14ac:dyDescent="0.25">
      <c r="A16" s="93"/>
      <c r="B16" s="94"/>
      <c r="C16" s="80" t="s">
        <v>107</v>
      </c>
      <c r="D16" s="91"/>
      <c r="F16" s="93"/>
      <c r="G16" s="94"/>
      <c r="H16" s="80" t="s">
        <v>107</v>
      </c>
      <c r="I16" s="91"/>
      <c r="K16" s="93"/>
      <c r="L16" s="94"/>
      <c r="M16" s="80" t="s">
        <v>107</v>
      </c>
      <c r="N16" s="91"/>
      <c r="P16" s="93"/>
      <c r="Q16" s="94"/>
      <c r="R16" s="80" t="s">
        <v>107</v>
      </c>
      <c r="S16" s="91"/>
    </row>
    <row r="17" spans="1:19" x14ac:dyDescent="0.25">
      <c r="A17" s="514" t="s">
        <v>449</v>
      </c>
      <c r="B17" s="514"/>
      <c r="C17" s="514"/>
      <c r="D17" s="95">
        <v>10.41</v>
      </c>
      <c r="F17" s="514" t="s">
        <v>449</v>
      </c>
      <c r="G17" s="514"/>
      <c r="H17" s="514"/>
      <c r="I17" s="95"/>
      <c r="K17" s="514" t="s">
        <v>449</v>
      </c>
      <c r="L17" s="514"/>
      <c r="M17" s="514"/>
      <c r="N17" s="95"/>
      <c r="P17" s="514" t="s">
        <v>449</v>
      </c>
      <c r="Q17" s="514"/>
      <c r="R17" s="514"/>
      <c r="S17" s="95"/>
    </row>
    <row r="18" spans="1:19" x14ac:dyDescent="0.25">
      <c r="A18" s="55"/>
      <c r="B18" s="55"/>
      <c r="C18" s="74" t="s">
        <v>110</v>
      </c>
      <c r="D18" s="91">
        <f>D17*D6</f>
        <v>89442.72</v>
      </c>
      <c r="F18" s="55"/>
      <c r="G18" s="55"/>
      <c r="H18" s="74" t="s">
        <v>110</v>
      </c>
      <c r="I18" s="91">
        <f>I17*I6</f>
        <v>0</v>
      </c>
      <c r="K18" s="55"/>
      <c r="L18" s="55"/>
      <c r="M18" s="74" t="s">
        <v>110</v>
      </c>
      <c r="N18" s="91">
        <f>N17*N6</f>
        <v>0</v>
      </c>
      <c r="P18" s="55"/>
      <c r="Q18" s="55"/>
      <c r="R18" s="74" t="s">
        <v>110</v>
      </c>
      <c r="S18" s="91">
        <f>S17*S6</f>
        <v>0</v>
      </c>
    </row>
    <row r="19" spans="1:19" ht="13.8" thickBot="1" x14ac:dyDescent="0.3">
      <c r="A19" s="55"/>
      <c r="B19" s="55"/>
      <c r="C19" s="55"/>
      <c r="D19" s="91"/>
      <c r="F19" s="55"/>
      <c r="G19" s="55"/>
      <c r="H19" s="55"/>
      <c r="I19" s="91"/>
      <c r="K19" s="55"/>
      <c r="L19" s="55"/>
      <c r="M19" s="55"/>
      <c r="N19" s="91"/>
      <c r="P19" s="55"/>
      <c r="Q19" s="55"/>
      <c r="R19" s="55"/>
      <c r="S19" s="91"/>
    </row>
    <row r="20" spans="1:19" ht="13.8" thickBot="1" x14ac:dyDescent="0.3">
      <c r="A20" s="100"/>
      <c r="B20" s="78"/>
      <c r="C20" s="101" t="s">
        <v>112</v>
      </c>
      <c r="D20" s="102">
        <f>D18+D14</f>
        <v>93385.627199999974</v>
      </c>
      <c r="F20" s="100"/>
      <c r="G20" s="78"/>
      <c r="H20" s="101" t="s">
        <v>112</v>
      </c>
      <c r="I20" s="102">
        <f>I18+I14</f>
        <v>0</v>
      </c>
      <c r="K20" s="100"/>
      <c r="L20" s="78"/>
      <c r="M20" s="101" t="s">
        <v>112</v>
      </c>
      <c r="N20" s="102">
        <f>N18+N14</f>
        <v>0</v>
      </c>
      <c r="P20" s="100"/>
      <c r="Q20" s="78"/>
      <c r="R20" s="101" t="s">
        <v>112</v>
      </c>
      <c r="S20" s="102">
        <f>S18+S14</f>
        <v>0</v>
      </c>
    </row>
    <row r="21" spans="1:19" x14ac:dyDescent="0.25">
      <c r="A21" s="53"/>
      <c r="B21" s="54"/>
      <c r="C21" s="55"/>
      <c r="D21" s="103"/>
      <c r="F21" s="53"/>
      <c r="G21" s="54"/>
      <c r="H21" s="55"/>
      <c r="I21" s="103"/>
      <c r="K21" s="53"/>
      <c r="L21" s="54"/>
      <c r="M21" s="55"/>
      <c r="N21" s="103"/>
      <c r="P21" s="53"/>
      <c r="Q21" s="54"/>
      <c r="R21" s="55"/>
      <c r="S21" s="103"/>
    </row>
    <row r="23" spans="1:19" x14ac:dyDescent="0.25">
      <c r="A23" s="541" t="s">
        <v>450</v>
      </c>
      <c r="B23" s="78"/>
      <c r="C23" s="542" t="s">
        <v>443</v>
      </c>
      <c r="D23" s="543"/>
      <c r="F23" s="541" t="s">
        <v>451</v>
      </c>
      <c r="G23" s="78"/>
      <c r="H23" s="542" t="s">
        <v>443</v>
      </c>
      <c r="I23" s="543"/>
      <c r="K23" s="541" t="s">
        <v>452</v>
      </c>
      <c r="L23" s="78"/>
      <c r="M23" s="542" t="s">
        <v>443</v>
      </c>
      <c r="N23" s="543"/>
      <c r="P23" s="541" t="s">
        <v>453</v>
      </c>
      <c r="Q23" s="78"/>
      <c r="R23" s="542" t="s">
        <v>443</v>
      </c>
      <c r="S23" s="543"/>
    </row>
    <row r="24" spans="1:19" x14ac:dyDescent="0.25">
      <c r="A24" s="544"/>
      <c r="B24" s="106"/>
      <c r="C24" s="79"/>
      <c r="D24" s="76"/>
      <c r="F24" s="544"/>
      <c r="G24" s="106"/>
      <c r="H24" s="79"/>
      <c r="I24" s="76"/>
      <c r="K24" s="544"/>
      <c r="L24" s="106"/>
      <c r="M24" s="79"/>
      <c r="N24" s="76"/>
      <c r="P24" s="544"/>
      <c r="Q24" s="106"/>
      <c r="R24" s="79"/>
      <c r="S24" s="76"/>
    </row>
    <row r="25" spans="1:19" x14ac:dyDescent="0.25">
      <c r="A25" s="544"/>
      <c r="B25" s="106"/>
      <c r="C25" s="55" t="s">
        <v>88</v>
      </c>
      <c r="D25" s="545"/>
      <c r="F25" s="544"/>
      <c r="G25" s="106"/>
      <c r="H25" s="55" t="s">
        <v>88</v>
      </c>
      <c r="I25" s="545"/>
      <c r="K25" s="544"/>
      <c r="L25" s="106"/>
      <c r="M25" s="55" t="s">
        <v>88</v>
      </c>
      <c r="N25" s="545"/>
      <c r="P25" s="544"/>
      <c r="Q25" s="106"/>
      <c r="R25" s="55" t="s">
        <v>88</v>
      </c>
      <c r="S25" s="545"/>
    </row>
    <row r="26" spans="1:19" x14ac:dyDescent="0.25">
      <c r="A26" s="544"/>
      <c r="B26" s="106"/>
      <c r="C26" s="55" t="s">
        <v>447</v>
      </c>
      <c r="D26" s="546"/>
      <c r="F26" s="544"/>
      <c r="G26" s="106"/>
      <c r="H26" s="55" t="s">
        <v>447</v>
      </c>
      <c r="I26" s="546"/>
      <c r="K26" s="544"/>
      <c r="L26" s="106"/>
      <c r="M26" s="55" t="s">
        <v>447</v>
      </c>
      <c r="N26" s="546"/>
      <c r="P26" s="544"/>
      <c r="Q26" s="106"/>
      <c r="R26" s="55" t="s">
        <v>447</v>
      </c>
      <c r="S26" s="546"/>
    </row>
    <row r="27" spans="1:19" x14ac:dyDescent="0.25">
      <c r="A27" s="544"/>
      <c r="B27" s="106"/>
      <c r="C27" s="55" t="s">
        <v>448</v>
      </c>
      <c r="D27" s="546"/>
      <c r="F27" s="544"/>
      <c r="G27" s="106"/>
      <c r="H27" s="55" t="s">
        <v>448</v>
      </c>
      <c r="I27" s="546"/>
      <c r="K27" s="544"/>
      <c r="L27" s="106"/>
      <c r="M27" s="55" t="s">
        <v>448</v>
      </c>
      <c r="N27" s="546"/>
      <c r="P27" s="544"/>
      <c r="Q27" s="106"/>
      <c r="R27" s="55" t="s">
        <v>448</v>
      </c>
      <c r="S27" s="546"/>
    </row>
    <row r="28" spans="1:19" x14ac:dyDescent="0.25">
      <c r="A28" s="544"/>
      <c r="B28" s="106"/>
      <c r="C28" s="79"/>
      <c r="D28" s="76"/>
      <c r="F28" s="544"/>
      <c r="G28" s="106"/>
      <c r="H28" s="79"/>
      <c r="I28" s="76"/>
      <c r="K28" s="544"/>
      <c r="L28" s="106"/>
      <c r="M28" s="79"/>
      <c r="N28" s="76"/>
      <c r="P28" s="544"/>
      <c r="Q28" s="106"/>
      <c r="R28" s="79"/>
      <c r="S28" s="76"/>
    </row>
    <row r="29" spans="1:19" x14ac:dyDescent="0.25">
      <c r="A29" s="547"/>
      <c r="B29" s="548"/>
      <c r="C29" s="549" t="s">
        <v>97</v>
      </c>
      <c r="D29" s="76"/>
      <c r="F29" s="547"/>
      <c r="G29" s="548"/>
      <c r="H29" s="549" t="s">
        <v>97</v>
      </c>
      <c r="I29" s="76"/>
      <c r="K29" s="547"/>
      <c r="L29" s="548"/>
      <c r="M29" s="549" t="s">
        <v>97</v>
      </c>
      <c r="N29" s="76"/>
      <c r="P29" s="547"/>
      <c r="Q29" s="548"/>
      <c r="R29" s="549" t="s">
        <v>97</v>
      </c>
      <c r="S29" s="76"/>
    </row>
    <row r="30" spans="1:19" x14ac:dyDescent="0.25">
      <c r="A30" s="53"/>
      <c r="B30" s="550"/>
      <c r="C30" s="82" t="s">
        <v>98</v>
      </c>
      <c r="D30" s="75"/>
      <c r="F30" s="53"/>
      <c r="G30" s="550"/>
      <c r="H30" s="82" t="s">
        <v>98</v>
      </c>
      <c r="I30" s="75"/>
      <c r="K30" s="53"/>
      <c r="L30" s="550"/>
      <c r="M30" s="82" t="s">
        <v>98</v>
      </c>
      <c r="N30" s="75"/>
      <c r="P30" s="53"/>
      <c r="Q30" s="550"/>
      <c r="R30" s="82" t="s">
        <v>98</v>
      </c>
      <c r="S30" s="75"/>
    </row>
    <row r="31" spans="1:19" x14ac:dyDescent="0.25">
      <c r="A31" s="53"/>
      <c r="B31" s="54"/>
      <c r="C31" s="74" t="s">
        <v>101</v>
      </c>
      <c r="D31" s="86"/>
      <c r="F31" s="53"/>
      <c r="G31" s="54"/>
      <c r="H31" s="74" t="s">
        <v>101</v>
      </c>
      <c r="I31" s="86"/>
      <c r="K31" s="53"/>
      <c r="L31" s="54"/>
      <c r="M31" s="74" t="s">
        <v>101</v>
      </c>
      <c r="N31" s="86"/>
      <c r="P31" s="53"/>
      <c r="Q31" s="54"/>
      <c r="R31" s="74" t="s">
        <v>101</v>
      </c>
      <c r="S31" s="86"/>
    </row>
    <row r="32" spans="1:19" x14ac:dyDescent="0.25">
      <c r="A32" s="53"/>
      <c r="B32" s="513" t="s">
        <v>102</v>
      </c>
      <c r="C32" s="513"/>
      <c r="D32" s="87"/>
      <c r="F32" s="53"/>
      <c r="G32" s="513" t="s">
        <v>102</v>
      </c>
      <c r="H32" s="513"/>
      <c r="I32" s="87"/>
      <c r="K32" s="53"/>
      <c r="L32" s="513" t="s">
        <v>102</v>
      </c>
      <c r="M32" s="513"/>
      <c r="N32" s="87"/>
      <c r="P32" s="53"/>
      <c r="Q32" s="513" t="s">
        <v>102</v>
      </c>
      <c r="R32" s="513"/>
      <c r="S32" s="87"/>
    </row>
    <row r="33" spans="1:19" x14ac:dyDescent="0.25">
      <c r="A33" s="53"/>
      <c r="B33" s="54"/>
      <c r="C33" s="74" t="s">
        <v>103</v>
      </c>
      <c r="D33" s="89">
        <f>(D32*D31)+D32</f>
        <v>0</v>
      </c>
      <c r="F33" s="53"/>
      <c r="G33" s="54"/>
      <c r="H33" s="74" t="s">
        <v>103</v>
      </c>
      <c r="I33" s="89">
        <f>(I32*I31)+I32</f>
        <v>0</v>
      </c>
      <c r="K33" s="53"/>
      <c r="L33" s="54"/>
      <c r="M33" s="74" t="s">
        <v>103</v>
      </c>
      <c r="N33" s="89">
        <f>(N32*N31)+N32</f>
        <v>0</v>
      </c>
      <c r="P33" s="53"/>
      <c r="Q33" s="54"/>
      <c r="R33" s="74" t="s">
        <v>103</v>
      </c>
      <c r="S33" s="89">
        <f>(S32*S31)+S32</f>
        <v>0</v>
      </c>
    </row>
    <row r="34" spans="1:19" x14ac:dyDescent="0.25">
      <c r="A34" s="53"/>
      <c r="B34" s="54"/>
      <c r="C34" s="74" t="s">
        <v>104</v>
      </c>
      <c r="D34" s="91">
        <f>+D33-D32</f>
        <v>0</v>
      </c>
      <c r="F34" s="53"/>
      <c r="G34" s="54"/>
      <c r="H34" s="74" t="s">
        <v>104</v>
      </c>
      <c r="I34" s="91">
        <f>+I33-I32</f>
        <v>0</v>
      </c>
      <c r="K34" s="53"/>
      <c r="L34" s="54"/>
      <c r="M34" s="74" t="s">
        <v>104</v>
      </c>
      <c r="N34" s="91">
        <f>+N33-N32</f>
        <v>0</v>
      </c>
      <c r="P34" s="53"/>
      <c r="Q34" s="54"/>
      <c r="R34" s="74" t="s">
        <v>104</v>
      </c>
      <c r="S34" s="91">
        <f>+S33-S32</f>
        <v>0</v>
      </c>
    </row>
    <row r="35" spans="1:19" x14ac:dyDescent="0.25">
      <c r="A35" s="53"/>
      <c r="B35" s="54"/>
      <c r="C35" s="74" t="s">
        <v>105</v>
      </c>
      <c r="D35" s="91">
        <f>D34*D26</f>
        <v>0</v>
      </c>
      <c r="F35" s="53"/>
      <c r="G35" s="54"/>
      <c r="H35" s="74" t="s">
        <v>105</v>
      </c>
      <c r="I35" s="91">
        <f>I34*I26</f>
        <v>0</v>
      </c>
      <c r="K35" s="53"/>
      <c r="L35" s="54"/>
      <c r="M35" s="74" t="s">
        <v>105</v>
      </c>
      <c r="N35" s="91">
        <f>N34*N26</f>
        <v>0</v>
      </c>
      <c r="P35" s="53"/>
      <c r="Q35" s="54"/>
      <c r="R35" s="74" t="s">
        <v>105</v>
      </c>
      <c r="S35" s="91">
        <f>S34*S26</f>
        <v>0</v>
      </c>
    </row>
    <row r="36" spans="1:19" x14ac:dyDescent="0.25">
      <c r="A36" s="53"/>
      <c r="B36" s="54"/>
      <c r="C36" s="55"/>
      <c r="D36" s="92"/>
      <c r="F36" s="53"/>
      <c r="G36" s="54"/>
      <c r="H36" s="55"/>
      <c r="I36" s="92"/>
      <c r="K36" s="53"/>
      <c r="L36" s="54"/>
      <c r="M36" s="55"/>
      <c r="N36" s="92"/>
      <c r="P36" s="53"/>
      <c r="Q36" s="54"/>
      <c r="R36" s="55"/>
      <c r="S36" s="92"/>
    </row>
    <row r="37" spans="1:19" x14ac:dyDescent="0.25">
      <c r="A37" s="93"/>
      <c r="B37" s="94"/>
      <c r="C37" s="80" t="s">
        <v>107</v>
      </c>
      <c r="D37" s="91"/>
      <c r="F37" s="93"/>
      <c r="G37" s="94"/>
      <c r="H37" s="80" t="s">
        <v>107</v>
      </c>
      <c r="I37" s="91"/>
      <c r="K37" s="93"/>
      <c r="L37" s="94"/>
      <c r="M37" s="80" t="s">
        <v>107</v>
      </c>
      <c r="N37" s="91"/>
      <c r="P37" s="93"/>
      <c r="Q37" s="94"/>
      <c r="R37" s="80" t="s">
        <v>107</v>
      </c>
      <c r="S37" s="91"/>
    </row>
    <row r="38" spans="1:19" x14ac:dyDescent="0.25">
      <c r="A38" s="514" t="s">
        <v>449</v>
      </c>
      <c r="B38" s="514"/>
      <c r="C38" s="514"/>
      <c r="D38" s="95"/>
      <c r="F38" s="514" t="s">
        <v>449</v>
      </c>
      <c r="G38" s="514"/>
      <c r="H38" s="514"/>
      <c r="I38" s="95"/>
      <c r="K38" s="514" t="s">
        <v>449</v>
      </c>
      <c r="L38" s="514"/>
      <c r="M38" s="514"/>
      <c r="N38" s="95"/>
      <c r="P38" s="514" t="s">
        <v>449</v>
      </c>
      <c r="Q38" s="514"/>
      <c r="R38" s="514"/>
      <c r="S38" s="95"/>
    </row>
    <row r="39" spans="1:19" x14ac:dyDescent="0.25">
      <c r="A39" s="55"/>
      <c r="B39" s="55"/>
      <c r="C39" s="74" t="s">
        <v>110</v>
      </c>
      <c r="D39" s="91">
        <f>D38*D27</f>
        <v>0</v>
      </c>
      <c r="F39" s="55"/>
      <c r="G39" s="55"/>
      <c r="H39" s="74" t="s">
        <v>110</v>
      </c>
      <c r="I39" s="91">
        <f>I38*I27</f>
        <v>0</v>
      </c>
      <c r="K39" s="55"/>
      <c r="L39" s="55"/>
      <c r="M39" s="74" t="s">
        <v>110</v>
      </c>
      <c r="N39" s="91">
        <f>N38*N27</f>
        <v>0</v>
      </c>
      <c r="P39" s="55"/>
      <c r="Q39" s="55"/>
      <c r="R39" s="74" t="s">
        <v>110</v>
      </c>
      <c r="S39" s="91">
        <f>S38*S27</f>
        <v>0</v>
      </c>
    </row>
    <row r="40" spans="1:19" ht="13.8" thickBot="1" x14ac:dyDescent="0.3">
      <c r="A40" s="55"/>
      <c r="B40" s="55"/>
      <c r="C40" s="55"/>
      <c r="D40" s="91"/>
      <c r="F40" s="55"/>
      <c r="G40" s="55"/>
      <c r="H40" s="55"/>
      <c r="I40" s="91"/>
      <c r="K40" s="55"/>
      <c r="L40" s="55"/>
      <c r="M40" s="55"/>
      <c r="N40" s="91"/>
      <c r="P40" s="55"/>
      <c r="Q40" s="55"/>
      <c r="R40" s="55"/>
      <c r="S40" s="91"/>
    </row>
    <row r="41" spans="1:19" ht="13.8" thickBot="1" x14ac:dyDescent="0.3">
      <c r="A41" s="100"/>
      <c r="B41" s="78"/>
      <c r="C41" s="101" t="s">
        <v>112</v>
      </c>
      <c r="D41" s="102">
        <f>D39+D35</f>
        <v>0</v>
      </c>
      <c r="F41" s="100"/>
      <c r="G41" s="78"/>
      <c r="H41" s="101" t="s">
        <v>112</v>
      </c>
      <c r="I41" s="102">
        <f>I39+I35</f>
        <v>0</v>
      </c>
      <c r="K41" s="100"/>
      <c r="L41" s="78"/>
      <c r="M41" s="101" t="s">
        <v>112</v>
      </c>
      <c r="N41" s="102">
        <f>N39+N35</f>
        <v>0</v>
      </c>
      <c r="P41" s="100"/>
      <c r="Q41" s="78"/>
      <c r="R41" s="101" t="s">
        <v>112</v>
      </c>
      <c r="S41" s="102">
        <f>S39+S35</f>
        <v>0</v>
      </c>
    </row>
    <row r="44" spans="1:19" x14ac:dyDescent="0.25">
      <c r="A44" s="541" t="s">
        <v>454</v>
      </c>
      <c r="B44" s="78"/>
      <c r="C44" s="542" t="s">
        <v>443</v>
      </c>
      <c r="D44" s="543"/>
      <c r="F44" s="541" t="s">
        <v>455</v>
      </c>
      <c r="G44" s="78"/>
      <c r="H44" s="542" t="s">
        <v>443</v>
      </c>
      <c r="I44" s="543"/>
      <c r="K44" s="541" t="s">
        <v>456</v>
      </c>
      <c r="L44" s="78"/>
      <c r="M44" s="542" t="s">
        <v>443</v>
      </c>
      <c r="N44" s="543"/>
      <c r="P44" s="541" t="s">
        <v>457</v>
      </c>
      <c r="Q44" s="78"/>
      <c r="R44" s="542" t="s">
        <v>443</v>
      </c>
      <c r="S44" s="543"/>
    </row>
    <row r="45" spans="1:19" x14ac:dyDescent="0.25">
      <c r="A45" s="544"/>
      <c r="B45" s="106"/>
      <c r="C45" s="79"/>
      <c r="D45" s="76"/>
      <c r="F45" s="544"/>
      <c r="G45" s="106"/>
      <c r="H45" s="79"/>
      <c r="I45" s="76"/>
      <c r="K45" s="544"/>
      <c r="L45" s="106"/>
      <c r="M45" s="79"/>
      <c r="N45" s="76"/>
      <c r="P45" s="544"/>
      <c r="Q45" s="106"/>
      <c r="R45" s="79"/>
      <c r="S45" s="76"/>
    </row>
    <row r="46" spans="1:19" x14ac:dyDescent="0.25">
      <c r="A46" s="544"/>
      <c r="B46" s="106"/>
      <c r="C46" s="55" t="s">
        <v>88</v>
      </c>
      <c r="D46" s="545"/>
      <c r="F46" s="544"/>
      <c r="G46" s="106"/>
      <c r="H46" s="55" t="s">
        <v>88</v>
      </c>
      <c r="I46" s="545"/>
      <c r="K46" s="544"/>
      <c r="L46" s="106"/>
      <c r="M46" s="55" t="s">
        <v>88</v>
      </c>
      <c r="N46" s="545"/>
      <c r="P46" s="544"/>
      <c r="Q46" s="106"/>
      <c r="R46" s="55" t="s">
        <v>88</v>
      </c>
      <c r="S46" s="545"/>
    </row>
    <row r="47" spans="1:19" x14ac:dyDescent="0.25">
      <c r="A47" s="544"/>
      <c r="B47" s="106"/>
      <c r="C47" s="55" t="s">
        <v>447</v>
      </c>
      <c r="D47" s="546"/>
      <c r="F47" s="544"/>
      <c r="G47" s="106"/>
      <c r="H47" s="55" t="s">
        <v>447</v>
      </c>
      <c r="I47" s="546"/>
      <c r="K47" s="544"/>
      <c r="L47" s="106"/>
      <c r="M47" s="55" t="s">
        <v>447</v>
      </c>
      <c r="N47" s="546"/>
      <c r="P47" s="544"/>
      <c r="Q47" s="106"/>
      <c r="R47" s="55" t="s">
        <v>447</v>
      </c>
      <c r="S47" s="546"/>
    </row>
    <row r="48" spans="1:19" x14ac:dyDescent="0.25">
      <c r="A48" s="544"/>
      <c r="B48" s="106"/>
      <c r="C48" s="55" t="s">
        <v>448</v>
      </c>
      <c r="D48" s="546"/>
      <c r="F48" s="544"/>
      <c r="G48" s="106"/>
      <c r="H48" s="55" t="s">
        <v>448</v>
      </c>
      <c r="I48" s="546"/>
      <c r="K48" s="544"/>
      <c r="L48" s="106"/>
      <c r="M48" s="55" t="s">
        <v>448</v>
      </c>
      <c r="N48" s="546"/>
      <c r="P48" s="544"/>
      <c r="Q48" s="106"/>
      <c r="R48" s="55" t="s">
        <v>448</v>
      </c>
      <c r="S48" s="546"/>
    </row>
    <row r="49" spans="1:19" x14ac:dyDescent="0.25">
      <c r="A49" s="544"/>
      <c r="B49" s="106"/>
      <c r="C49" s="79"/>
      <c r="D49" s="76"/>
      <c r="F49" s="544"/>
      <c r="G49" s="106"/>
      <c r="H49" s="79"/>
      <c r="I49" s="76"/>
      <c r="K49" s="544"/>
      <c r="L49" s="106"/>
      <c r="M49" s="79"/>
      <c r="N49" s="76"/>
      <c r="P49" s="544"/>
      <c r="Q49" s="106"/>
      <c r="R49" s="79"/>
      <c r="S49" s="76"/>
    </row>
    <row r="50" spans="1:19" x14ac:dyDescent="0.25">
      <c r="A50" s="547"/>
      <c r="B50" s="548"/>
      <c r="C50" s="549" t="s">
        <v>97</v>
      </c>
      <c r="D50" s="76"/>
      <c r="F50" s="547"/>
      <c r="G50" s="548"/>
      <c r="H50" s="549" t="s">
        <v>97</v>
      </c>
      <c r="I50" s="76"/>
      <c r="K50" s="547"/>
      <c r="L50" s="548"/>
      <c r="M50" s="549" t="s">
        <v>97</v>
      </c>
      <c r="N50" s="76"/>
      <c r="P50" s="547"/>
      <c r="Q50" s="548"/>
      <c r="R50" s="549" t="s">
        <v>97</v>
      </c>
      <c r="S50" s="76"/>
    </row>
    <row r="51" spans="1:19" x14ac:dyDescent="0.25">
      <c r="A51" s="53"/>
      <c r="B51" s="550"/>
      <c r="C51" s="82" t="s">
        <v>98</v>
      </c>
      <c r="D51" s="75"/>
      <c r="F51" s="53"/>
      <c r="G51" s="550"/>
      <c r="H51" s="82" t="s">
        <v>98</v>
      </c>
      <c r="I51" s="75"/>
      <c r="K51" s="53"/>
      <c r="L51" s="550"/>
      <c r="M51" s="82" t="s">
        <v>98</v>
      </c>
      <c r="N51" s="75"/>
      <c r="P51" s="53"/>
      <c r="Q51" s="550"/>
      <c r="R51" s="82" t="s">
        <v>98</v>
      </c>
      <c r="S51" s="75"/>
    </row>
    <row r="52" spans="1:19" x14ac:dyDescent="0.25">
      <c r="A52" s="53"/>
      <c r="B52" s="54"/>
      <c r="C52" s="74" t="s">
        <v>101</v>
      </c>
      <c r="D52" s="86"/>
      <c r="F52" s="53"/>
      <c r="G52" s="54"/>
      <c r="H52" s="74" t="s">
        <v>101</v>
      </c>
      <c r="I52" s="86"/>
      <c r="K52" s="53"/>
      <c r="L52" s="54"/>
      <c r="M52" s="74" t="s">
        <v>101</v>
      </c>
      <c r="N52" s="86"/>
      <c r="P52" s="53"/>
      <c r="Q52" s="54"/>
      <c r="R52" s="74" t="s">
        <v>101</v>
      </c>
      <c r="S52" s="86"/>
    </row>
    <row r="53" spans="1:19" x14ac:dyDescent="0.25">
      <c r="A53" s="53"/>
      <c r="B53" s="513" t="s">
        <v>102</v>
      </c>
      <c r="C53" s="513"/>
      <c r="D53" s="87"/>
      <c r="F53" s="53"/>
      <c r="G53" s="513" t="s">
        <v>102</v>
      </c>
      <c r="H53" s="513"/>
      <c r="I53" s="87"/>
      <c r="K53" s="53"/>
      <c r="L53" s="513" t="s">
        <v>102</v>
      </c>
      <c r="M53" s="513"/>
      <c r="N53" s="87"/>
      <c r="P53" s="53"/>
      <c r="Q53" s="513" t="s">
        <v>102</v>
      </c>
      <c r="R53" s="513"/>
      <c r="S53" s="87"/>
    </row>
    <row r="54" spans="1:19" x14ac:dyDescent="0.25">
      <c r="A54" s="53"/>
      <c r="B54" s="54"/>
      <c r="C54" s="74" t="s">
        <v>103</v>
      </c>
      <c r="D54" s="89">
        <f>(D53*D52)+D53</f>
        <v>0</v>
      </c>
      <c r="F54" s="53"/>
      <c r="G54" s="54"/>
      <c r="H54" s="74" t="s">
        <v>103</v>
      </c>
      <c r="I54" s="89">
        <f>(I53*I52)+I53</f>
        <v>0</v>
      </c>
      <c r="K54" s="53"/>
      <c r="L54" s="54"/>
      <c r="M54" s="74" t="s">
        <v>103</v>
      </c>
      <c r="N54" s="89">
        <f>(N53*N52)+N53</f>
        <v>0</v>
      </c>
      <c r="P54" s="53"/>
      <c r="Q54" s="54"/>
      <c r="R54" s="74" t="s">
        <v>103</v>
      </c>
      <c r="S54" s="89">
        <f>(S53*S52)+S53</f>
        <v>0</v>
      </c>
    </row>
    <row r="55" spans="1:19" x14ac:dyDescent="0.25">
      <c r="A55" s="53"/>
      <c r="B55" s="54"/>
      <c r="C55" s="74" t="s">
        <v>104</v>
      </c>
      <c r="D55" s="91">
        <f>+D54-D53</f>
        <v>0</v>
      </c>
      <c r="F55" s="53"/>
      <c r="G55" s="54"/>
      <c r="H55" s="74" t="s">
        <v>104</v>
      </c>
      <c r="I55" s="91">
        <f>+I54-I53</f>
        <v>0</v>
      </c>
      <c r="K55" s="53"/>
      <c r="L55" s="54"/>
      <c r="M55" s="74" t="s">
        <v>104</v>
      </c>
      <c r="N55" s="91">
        <f>+N54-N53</f>
        <v>0</v>
      </c>
      <c r="P55" s="53"/>
      <c r="Q55" s="54"/>
      <c r="R55" s="74" t="s">
        <v>104</v>
      </c>
      <c r="S55" s="91">
        <f>+S54-S53</f>
        <v>0</v>
      </c>
    </row>
    <row r="56" spans="1:19" x14ac:dyDescent="0.25">
      <c r="A56" s="53"/>
      <c r="B56" s="54"/>
      <c r="C56" s="74" t="s">
        <v>105</v>
      </c>
      <c r="D56" s="91">
        <f>D55*D47</f>
        <v>0</v>
      </c>
      <c r="F56" s="53"/>
      <c r="G56" s="54"/>
      <c r="H56" s="74" t="s">
        <v>105</v>
      </c>
      <c r="I56" s="91">
        <f>I55*I47</f>
        <v>0</v>
      </c>
      <c r="K56" s="53"/>
      <c r="L56" s="54"/>
      <c r="M56" s="74" t="s">
        <v>105</v>
      </c>
      <c r="N56" s="91">
        <f>N55*N47</f>
        <v>0</v>
      </c>
      <c r="P56" s="53"/>
      <c r="Q56" s="54"/>
      <c r="R56" s="74" t="s">
        <v>105</v>
      </c>
      <c r="S56" s="91">
        <f>S55*S47</f>
        <v>0</v>
      </c>
    </row>
    <row r="57" spans="1:19" x14ac:dyDescent="0.25">
      <c r="A57" s="53"/>
      <c r="B57" s="54"/>
      <c r="C57" s="55"/>
      <c r="D57" s="92"/>
      <c r="F57" s="53"/>
      <c r="G57" s="54"/>
      <c r="H57" s="55"/>
      <c r="I57" s="92"/>
      <c r="K57" s="53"/>
      <c r="L57" s="54"/>
      <c r="M57" s="55"/>
      <c r="N57" s="92"/>
      <c r="P57" s="53"/>
      <c r="Q57" s="54"/>
      <c r="R57" s="55"/>
      <c r="S57" s="92"/>
    </row>
    <row r="58" spans="1:19" x14ac:dyDescent="0.25">
      <c r="A58" s="93"/>
      <c r="B58" s="94"/>
      <c r="C58" s="80" t="s">
        <v>107</v>
      </c>
      <c r="D58" s="91"/>
      <c r="F58" s="93"/>
      <c r="G58" s="94"/>
      <c r="H58" s="80" t="s">
        <v>107</v>
      </c>
      <c r="I58" s="91"/>
      <c r="K58" s="93"/>
      <c r="L58" s="94"/>
      <c r="M58" s="80" t="s">
        <v>107</v>
      </c>
      <c r="N58" s="91"/>
      <c r="P58" s="93"/>
      <c r="Q58" s="94"/>
      <c r="R58" s="80" t="s">
        <v>107</v>
      </c>
      <c r="S58" s="91"/>
    </row>
    <row r="59" spans="1:19" x14ac:dyDescent="0.25">
      <c r="A59" s="514" t="s">
        <v>449</v>
      </c>
      <c r="B59" s="514"/>
      <c r="C59" s="514"/>
      <c r="D59" s="95"/>
      <c r="F59" s="514" t="s">
        <v>449</v>
      </c>
      <c r="G59" s="514"/>
      <c r="H59" s="514"/>
      <c r="I59" s="95"/>
      <c r="K59" s="514" t="s">
        <v>449</v>
      </c>
      <c r="L59" s="514"/>
      <c r="M59" s="514"/>
      <c r="N59" s="95"/>
      <c r="P59" s="514" t="s">
        <v>449</v>
      </c>
      <c r="Q59" s="514"/>
      <c r="R59" s="514"/>
      <c r="S59" s="95"/>
    </row>
    <row r="60" spans="1:19" x14ac:dyDescent="0.25">
      <c r="A60" s="55"/>
      <c r="B60" s="55"/>
      <c r="C60" s="74" t="s">
        <v>110</v>
      </c>
      <c r="D60" s="91">
        <f>D59*D48</f>
        <v>0</v>
      </c>
      <c r="F60" s="55"/>
      <c r="G60" s="55"/>
      <c r="H60" s="74" t="s">
        <v>110</v>
      </c>
      <c r="I60" s="91">
        <f>I59*I48</f>
        <v>0</v>
      </c>
      <c r="K60" s="55"/>
      <c r="L60" s="55"/>
      <c r="M60" s="74" t="s">
        <v>110</v>
      </c>
      <c r="N60" s="91">
        <f>N59*N48</f>
        <v>0</v>
      </c>
      <c r="P60" s="55"/>
      <c r="Q60" s="55"/>
      <c r="R60" s="74" t="s">
        <v>110</v>
      </c>
      <c r="S60" s="91">
        <f>S59*S48</f>
        <v>0</v>
      </c>
    </row>
    <row r="61" spans="1:19" ht="13.8" thickBot="1" x14ac:dyDescent="0.3">
      <c r="A61" s="55"/>
      <c r="B61" s="55"/>
      <c r="C61" s="55"/>
      <c r="D61" s="91"/>
      <c r="F61" s="55"/>
      <c r="G61" s="55"/>
      <c r="H61" s="55"/>
      <c r="I61" s="91"/>
      <c r="K61" s="55"/>
      <c r="L61" s="55"/>
      <c r="M61" s="55"/>
      <c r="N61" s="91"/>
      <c r="P61" s="55"/>
      <c r="Q61" s="55"/>
      <c r="R61" s="55"/>
      <c r="S61" s="91"/>
    </row>
    <row r="62" spans="1:19" ht="13.8" thickBot="1" x14ac:dyDescent="0.3">
      <c r="A62" s="100"/>
      <c r="B62" s="78"/>
      <c r="C62" s="101" t="s">
        <v>112</v>
      </c>
      <c r="D62" s="102">
        <f>D60+D56</f>
        <v>0</v>
      </c>
      <c r="F62" s="100"/>
      <c r="G62" s="78"/>
      <c r="H62" s="101" t="s">
        <v>112</v>
      </c>
      <c r="I62" s="102">
        <f>I60+I56</f>
        <v>0</v>
      </c>
      <c r="K62" s="100"/>
      <c r="L62" s="78"/>
      <c r="M62" s="101" t="s">
        <v>112</v>
      </c>
      <c r="N62" s="102">
        <f>N60+N56</f>
        <v>0</v>
      </c>
      <c r="P62" s="100"/>
      <c r="Q62" s="78"/>
      <c r="R62" s="101" t="s">
        <v>112</v>
      </c>
      <c r="S62" s="102">
        <f>S60+S56</f>
        <v>0</v>
      </c>
    </row>
    <row r="65" spans="1:19" x14ac:dyDescent="0.25">
      <c r="A65" s="541" t="s">
        <v>458</v>
      </c>
      <c r="B65" s="78"/>
      <c r="C65" s="542" t="s">
        <v>443</v>
      </c>
      <c r="D65" s="543"/>
      <c r="F65" s="541" t="s">
        <v>459</v>
      </c>
      <c r="G65" s="78"/>
      <c r="H65" s="542" t="s">
        <v>443</v>
      </c>
      <c r="I65" s="543"/>
      <c r="K65" s="541" t="s">
        <v>460</v>
      </c>
      <c r="L65" s="78"/>
      <c r="M65" s="542" t="s">
        <v>443</v>
      </c>
      <c r="N65" s="543"/>
      <c r="P65" s="541" t="s">
        <v>461</v>
      </c>
      <c r="Q65" s="78"/>
      <c r="R65" s="542" t="s">
        <v>443</v>
      </c>
      <c r="S65" s="543"/>
    </row>
    <row r="66" spans="1:19" x14ac:dyDescent="0.25">
      <c r="A66" s="544"/>
      <c r="B66" s="106"/>
      <c r="C66" s="79"/>
      <c r="D66" s="76"/>
      <c r="F66" s="544"/>
      <c r="G66" s="106"/>
      <c r="H66" s="79"/>
      <c r="I66" s="76"/>
      <c r="K66" s="544"/>
      <c r="L66" s="106"/>
      <c r="M66" s="79"/>
      <c r="N66" s="76"/>
      <c r="P66" s="544"/>
      <c r="Q66" s="106"/>
      <c r="R66" s="79"/>
      <c r="S66" s="76"/>
    </row>
    <row r="67" spans="1:19" x14ac:dyDescent="0.25">
      <c r="A67" s="544"/>
      <c r="B67" s="106"/>
      <c r="C67" s="55" t="s">
        <v>88</v>
      </c>
      <c r="D67" s="545"/>
      <c r="F67" s="544"/>
      <c r="G67" s="106"/>
      <c r="H67" s="55" t="s">
        <v>88</v>
      </c>
      <c r="I67" s="545"/>
      <c r="K67" s="544"/>
      <c r="L67" s="106"/>
      <c r="M67" s="55" t="s">
        <v>88</v>
      </c>
      <c r="N67" s="545"/>
      <c r="P67" s="544"/>
      <c r="Q67" s="106"/>
      <c r="R67" s="55" t="s">
        <v>88</v>
      </c>
      <c r="S67" s="545"/>
    </row>
    <row r="68" spans="1:19" x14ac:dyDescent="0.25">
      <c r="A68" s="544"/>
      <c r="B68" s="106"/>
      <c r="C68" s="55" t="s">
        <v>447</v>
      </c>
      <c r="D68" s="546"/>
      <c r="F68" s="544"/>
      <c r="G68" s="106"/>
      <c r="H68" s="55" t="s">
        <v>447</v>
      </c>
      <c r="I68" s="546"/>
      <c r="K68" s="544"/>
      <c r="L68" s="106"/>
      <c r="M68" s="55" t="s">
        <v>447</v>
      </c>
      <c r="N68" s="546"/>
      <c r="P68" s="544"/>
      <c r="Q68" s="106"/>
      <c r="R68" s="55" t="s">
        <v>447</v>
      </c>
      <c r="S68" s="546"/>
    </row>
    <row r="69" spans="1:19" x14ac:dyDescent="0.25">
      <c r="A69" s="544"/>
      <c r="B69" s="106"/>
      <c r="C69" s="55" t="s">
        <v>448</v>
      </c>
      <c r="D69" s="546"/>
      <c r="F69" s="544"/>
      <c r="G69" s="106"/>
      <c r="H69" s="55" t="s">
        <v>448</v>
      </c>
      <c r="I69" s="546"/>
      <c r="K69" s="544"/>
      <c r="L69" s="106"/>
      <c r="M69" s="55" t="s">
        <v>448</v>
      </c>
      <c r="N69" s="546"/>
      <c r="P69" s="544"/>
      <c r="Q69" s="106"/>
      <c r="R69" s="55" t="s">
        <v>448</v>
      </c>
      <c r="S69" s="546"/>
    </row>
    <row r="70" spans="1:19" x14ac:dyDescent="0.25">
      <c r="A70" s="544"/>
      <c r="B70" s="106"/>
      <c r="C70" s="79"/>
      <c r="D70" s="76"/>
      <c r="F70" s="544"/>
      <c r="G70" s="106"/>
      <c r="H70" s="79"/>
      <c r="I70" s="76"/>
      <c r="K70" s="544"/>
      <c r="L70" s="106"/>
      <c r="M70" s="79"/>
      <c r="N70" s="76"/>
      <c r="P70" s="544"/>
      <c r="Q70" s="106"/>
      <c r="R70" s="79"/>
      <c r="S70" s="76"/>
    </row>
    <row r="71" spans="1:19" x14ac:dyDescent="0.25">
      <c r="A71" s="547"/>
      <c r="B71" s="548"/>
      <c r="C71" s="549" t="s">
        <v>97</v>
      </c>
      <c r="D71" s="76"/>
      <c r="F71" s="547"/>
      <c r="G71" s="548"/>
      <c r="H71" s="549" t="s">
        <v>97</v>
      </c>
      <c r="I71" s="76"/>
      <c r="K71" s="547"/>
      <c r="L71" s="548"/>
      <c r="M71" s="549" t="s">
        <v>97</v>
      </c>
      <c r="N71" s="76"/>
      <c r="P71" s="547"/>
      <c r="Q71" s="548"/>
      <c r="R71" s="549" t="s">
        <v>97</v>
      </c>
      <c r="S71" s="76"/>
    </row>
    <row r="72" spans="1:19" x14ac:dyDescent="0.25">
      <c r="A72" s="53"/>
      <c r="B72" s="550"/>
      <c r="C72" s="82" t="s">
        <v>98</v>
      </c>
      <c r="D72" s="75"/>
      <c r="F72" s="53"/>
      <c r="G72" s="550"/>
      <c r="H72" s="82" t="s">
        <v>98</v>
      </c>
      <c r="I72" s="75"/>
      <c r="K72" s="53"/>
      <c r="L72" s="550"/>
      <c r="M72" s="82" t="s">
        <v>98</v>
      </c>
      <c r="N72" s="75"/>
      <c r="P72" s="53"/>
      <c r="Q72" s="550"/>
      <c r="R72" s="82" t="s">
        <v>98</v>
      </c>
      <c r="S72" s="75"/>
    </row>
    <row r="73" spans="1:19" x14ac:dyDescent="0.25">
      <c r="A73" s="53"/>
      <c r="B73" s="54"/>
      <c r="C73" s="74" t="s">
        <v>101</v>
      </c>
      <c r="D73" s="86"/>
      <c r="F73" s="53"/>
      <c r="G73" s="54"/>
      <c r="H73" s="74" t="s">
        <v>101</v>
      </c>
      <c r="I73" s="86"/>
      <c r="K73" s="53"/>
      <c r="L73" s="54"/>
      <c r="M73" s="74" t="s">
        <v>101</v>
      </c>
      <c r="N73" s="86"/>
      <c r="P73" s="53"/>
      <c r="Q73" s="54"/>
      <c r="R73" s="74" t="s">
        <v>101</v>
      </c>
      <c r="S73" s="86"/>
    </row>
    <row r="74" spans="1:19" x14ac:dyDescent="0.25">
      <c r="A74" s="53"/>
      <c r="B74" s="513" t="s">
        <v>102</v>
      </c>
      <c r="C74" s="513"/>
      <c r="D74" s="87"/>
      <c r="F74" s="53"/>
      <c r="G74" s="513" t="s">
        <v>102</v>
      </c>
      <c r="H74" s="513"/>
      <c r="I74" s="87"/>
      <c r="K74" s="53"/>
      <c r="L74" s="513" t="s">
        <v>102</v>
      </c>
      <c r="M74" s="513"/>
      <c r="N74" s="87"/>
      <c r="P74" s="53"/>
      <c r="Q74" s="513" t="s">
        <v>102</v>
      </c>
      <c r="R74" s="513"/>
      <c r="S74" s="87"/>
    </row>
    <row r="75" spans="1:19" x14ac:dyDescent="0.25">
      <c r="A75" s="53"/>
      <c r="B75" s="54"/>
      <c r="C75" s="74" t="s">
        <v>103</v>
      </c>
      <c r="D75" s="89">
        <f>(D74*D73)+D74</f>
        <v>0</v>
      </c>
      <c r="F75" s="53"/>
      <c r="G75" s="54"/>
      <c r="H75" s="74" t="s">
        <v>103</v>
      </c>
      <c r="I75" s="89">
        <f>(I74*I73)+I74</f>
        <v>0</v>
      </c>
      <c r="K75" s="53"/>
      <c r="L75" s="54"/>
      <c r="M75" s="74" t="s">
        <v>103</v>
      </c>
      <c r="N75" s="89">
        <f>(N74*N73)+N74</f>
        <v>0</v>
      </c>
      <c r="P75" s="53"/>
      <c r="Q75" s="54"/>
      <c r="R75" s="74" t="s">
        <v>103</v>
      </c>
      <c r="S75" s="89">
        <f>(S74*S73)+S74</f>
        <v>0</v>
      </c>
    </row>
    <row r="76" spans="1:19" x14ac:dyDescent="0.25">
      <c r="A76" s="53"/>
      <c r="B76" s="54"/>
      <c r="C76" s="74" t="s">
        <v>104</v>
      </c>
      <c r="D76" s="91">
        <f>+D75-D74</f>
        <v>0</v>
      </c>
      <c r="F76" s="53"/>
      <c r="G76" s="54"/>
      <c r="H76" s="74" t="s">
        <v>104</v>
      </c>
      <c r="I76" s="91">
        <f>+I75-I74</f>
        <v>0</v>
      </c>
      <c r="K76" s="53"/>
      <c r="L76" s="54"/>
      <c r="M76" s="74" t="s">
        <v>104</v>
      </c>
      <c r="N76" s="91">
        <f>+N75-N74</f>
        <v>0</v>
      </c>
      <c r="P76" s="53"/>
      <c r="Q76" s="54"/>
      <c r="R76" s="74" t="s">
        <v>104</v>
      </c>
      <c r="S76" s="91">
        <f>+S75-S74</f>
        <v>0</v>
      </c>
    </row>
    <row r="77" spans="1:19" x14ac:dyDescent="0.25">
      <c r="A77" s="53"/>
      <c r="B77" s="54"/>
      <c r="C77" s="74" t="s">
        <v>105</v>
      </c>
      <c r="D77" s="91">
        <f>D76*D68</f>
        <v>0</v>
      </c>
      <c r="F77" s="53"/>
      <c r="G77" s="54"/>
      <c r="H77" s="74" t="s">
        <v>105</v>
      </c>
      <c r="I77" s="91">
        <f>I76*I68</f>
        <v>0</v>
      </c>
      <c r="K77" s="53"/>
      <c r="L77" s="54"/>
      <c r="M77" s="74" t="s">
        <v>105</v>
      </c>
      <c r="N77" s="91">
        <f>N76*N68</f>
        <v>0</v>
      </c>
      <c r="P77" s="53"/>
      <c r="Q77" s="54"/>
      <c r="R77" s="74" t="s">
        <v>105</v>
      </c>
      <c r="S77" s="91">
        <f>S76*S68</f>
        <v>0</v>
      </c>
    </row>
    <row r="78" spans="1:19" x14ac:dyDescent="0.25">
      <c r="A78" s="53"/>
      <c r="B78" s="54"/>
      <c r="C78" s="55"/>
      <c r="D78" s="92"/>
      <c r="F78" s="53"/>
      <c r="G78" s="54"/>
      <c r="H78" s="55"/>
      <c r="I78" s="92"/>
      <c r="K78" s="53"/>
      <c r="L78" s="54"/>
      <c r="M78" s="55"/>
      <c r="N78" s="92"/>
      <c r="P78" s="53"/>
      <c r="Q78" s="54"/>
      <c r="R78" s="55"/>
      <c r="S78" s="92"/>
    </row>
    <row r="79" spans="1:19" x14ac:dyDescent="0.25">
      <c r="A79" s="93"/>
      <c r="B79" s="94"/>
      <c r="C79" s="80" t="s">
        <v>107</v>
      </c>
      <c r="D79" s="91"/>
      <c r="F79" s="93"/>
      <c r="G79" s="94"/>
      <c r="H79" s="80" t="s">
        <v>107</v>
      </c>
      <c r="I79" s="91"/>
      <c r="K79" s="93"/>
      <c r="L79" s="94"/>
      <c r="M79" s="80" t="s">
        <v>107</v>
      </c>
      <c r="N79" s="91"/>
      <c r="P79" s="93"/>
      <c r="Q79" s="94"/>
      <c r="R79" s="80" t="s">
        <v>107</v>
      </c>
      <c r="S79" s="91"/>
    </row>
    <row r="80" spans="1:19" x14ac:dyDescent="0.25">
      <c r="A80" s="514" t="s">
        <v>449</v>
      </c>
      <c r="B80" s="514"/>
      <c r="C80" s="514"/>
      <c r="D80" s="95"/>
      <c r="F80" s="514" t="s">
        <v>449</v>
      </c>
      <c r="G80" s="514"/>
      <c r="H80" s="514"/>
      <c r="I80" s="95"/>
      <c r="K80" s="514" t="s">
        <v>449</v>
      </c>
      <c r="L80" s="514"/>
      <c r="M80" s="514"/>
      <c r="N80" s="95"/>
      <c r="P80" s="514" t="s">
        <v>449</v>
      </c>
      <c r="Q80" s="514"/>
      <c r="R80" s="514"/>
      <c r="S80" s="95"/>
    </row>
    <row r="81" spans="1:19" x14ac:dyDescent="0.25">
      <c r="A81" s="55"/>
      <c r="B81" s="55"/>
      <c r="C81" s="74" t="s">
        <v>110</v>
      </c>
      <c r="D81" s="91">
        <f>D80*D69</f>
        <v>0</v>
      </c>
      <c r="F81" s="55"/>
      <c r="G81" s="55"/>
      <c r="H81" s="74" t="s">
        <v>110</v>
      </c>
      <c r="I81" s="91">
        <f>I80*I69</f>
        <v>0</v>
      </c>
      <c r="K81" s="55"/>
      <c r="L81" s="55"/>
      <c r="M81" s="74" t="s">
        <v>110</v>
      </c>
      <c r="N81" s="91">
        <f>N80*N69</f>
        <v>0</v>
      </c>
      <c r="P81" s="55"/>
      <c r="Q81" s="55"/>
      <c r="R81" s="74" t="s">
        <v>110</v>
      </c>
      <c r="S81" s="91">
        <f>S80*S69</f>
        <v>0</v>
      </c>
    </row>
    <row r="82" spans="1:19" ht="13.8" thickBot="1" x14ac:dyDescent="0.3">
      <c r="A82" s="55"/>
      <c r="B82" s="55"/>
      <c r="C82" s="55"/>
      <c r="D82" s="91"/>
      <c r="F82" s="55"/>
      <c r="G82" s="55"/>
      <c r="H82" s="55"/>
      <c r="I82" s="91"/>
      <c r="K82" s="55"/>
      <c r="L82" s="55"/>
      <c r="M82" s="55"/>
      <c r="N82" s="91"/>
      <c r="P82" s="55"/>
      <c r="Q82" s="55"/>
      <c r="R82" s="55"/>
      <c r="S82" s="91"/>
    </row>
    <row r="83" spans="1:19" ht="13.8" thickBot="1" x14ac:dyDescent="0.3">
      <c r="A83" s="100"/>
      <c r="B83" s="78"/>
      <c r="C83" s="101" t="s">
        <v>112</v>
      </c>
      <c r="D83" s="102">
        <f>D81+D77</f>
        <v>0</v>
      </c>
      <c r="F83" s="100"/>
      <c r="G83" s="78"/>
      <c r="H83" s="101" t="s">
        <v>112</v>
      </c>
      <c r="I83" s="102">
        <f>I81+I77</f>
        <v>0</v>
      </c>
      <c r="K83" s="100"/>
      <c r="L83" s="78"/>
      <c r="M83" s="101" t="s">
        <v>112</v>
      </c>
      <c r="N83" s="102">
        <f>N81+N77</f>
        <v>0</v>
      </c>
      <c r="P83" s="100"/>
      <c r="Q83" s="78"/>
      <c r="R83" s="101" t="s">
        <v>112</v>
      </c>
      <c r="S83" s="102">
        <f>S81+S77</f>
        <v>0</v>
      </c>
    </row>
    <row r="86" spans="1:19" x14ac:dyDescent="0.25">
      <c r="A86" s="541" t="s">
        <v>462</v>
      </c>
      <c r="B86" s="78"/>
      <c r="C86" s="542" t="s">
        <v>443</v>
      </c>
      <c r="D86" s="543"/>
      <c r="F86" s="541" t="s">
        <v>463</v>
      </c>
      <c r="G86" s="78"/>
      <c r="H86" s="542" t="s">
        <v>443</v>
      </c>
      <c r="I86" s="543"/>
      <c r="K86" s="541" t="s">
        <v>464</v>
      </c>
      <c r="L86" s="78"/>
      <c r="M86" s="542" t="s">
        <v>443</v>
      </c>
      <c r="N86" s="543"/>
      <c r="P86" s="541" t="s">
        <v>465</v>
      </c>
      <c r="Q86" s="78"/>
      <c r="R86" s="542" t="s">
        <v>443</v>
      </c>
      <c r="S86" s="543"/>
    </row>
    <row r="87" spans="1:19" x14ac:dyDescent="0.25">
      <c r="A87" s="544"/>
      <c r="B87" s="106"/>
      <c r="C87" s="79"/>
      <c r="D87" s="76"/>
      <c r="F87" s="544"/>
      <c r="G87" s="106"/>
      <c r="H87" s="79"/>
      <c r="I87" s="76"/>
      <c r="K87" s="544"/>
      <c r="L87" s="106"/>
      <c r="M87" s="79"/>
      <c r="N87" s="76"/>
      <c r="P87" s="544"/>
      <c r="Q87" s="106"/>
      <c r="R87" s="79"/>
      <c r="S87" s="76"/>
    </row>
    <row r="88" spans="1:19" x14ac:dyDescent="0.25">
      <c r="A88" s="544"/>
      <c r="B88" s="106"/>
      <c r="C88" s="55" t="s">
        <v>88</v>
      </c>
      <c r="D88" s="545"/>
      <c r="F88" s="544"/>
      <c r="G88" s="106"/>
      <c r="H88" s="55" t="s">
        <v>88</v>
      </c>
      <c r="I88" s="545"/>
      <c r="K88" s="544"/>
      <c r="L88" s="106"/>
      <c r="M88" s="55" t="s">
        <v>88</v>
      </c>
      <c r="N88" s="545"/>
      <c r="P88" s="544"/>
      <c r="Q88" s="106"/>
      <c r="R88" s="55" t="s">
        <v>88</v>
      </c>
      <c r="S88" s="545"/>
    </row>
    <row r="89" spans="1:19" x14ac:dyDescent="0.25">
      <c r="A89" s="544"/>
      <c r="B89" s="106"/>
      <c r="C89" s="55" t="s">
        <v>447</v>
      </c>
      <c r="D89" s="546"/>
      <c r="F89" s="544"/>
      <c r="G89" s="106"/>
      <c r="H89" s="55" t="s">
        <v>447</v>
      </c>
      <c r="I89" s="546"/>
      <c r="K89" s="544"/>
      <c r="L89" s="106"/>
      <c r="M89" s="55" t="s">
        <v>447</v>
      </c>
      <c r="N89" s="546"/>
      <c r="P89" s="544"/>
      <c r="Q89" s="106"/>
      <c r="R89" s="55" t="s">
        <v>447</v>
      </c>
      <c r="S89" s="546"/>
    </row>
    <row r="90" spans="1:19" x14ac:dyDescent="0.25">
      <c r="A90" s="544"/>
      <c r="B90" s="106"/>
      <c r="C90" s="55" t="s">
        <v>448</v>
      </c>
      <c r="D90" s="546"/>
      <c r="F90" s="544"/>
      <c r="G90" s="106"/>
      <c r="H90" s="55" t="s">
        <v>448</v>
      </c>
      <c r="I90" s="546"/>
      <c r="K90" s="544"/>
      <c r="L90" s="106"/>
      <c r="M90" s="55" t="s">
        <v>448</v>
      </c>
      <c r="N90" s="546"/>
      <c r="P90" s="544"/>
      <c r="Q90" s="106"/>
      <c r="R90" s="55" t="s">
        <v>448</v>
      </c>
      <c r="S90" s="546"/>
    </row>
    <row r="91" spans="1:19" x14ac:dyDescent="0.25">
      <c r="A91" s="544"/>
      <c r="B91" s="106"/>
      <c r="C91" s="79"/>
      <c r="D91" s="76"/>
      <c r="F91" s="544"/>
      <c r="G91" s="106"/>
      <c r="H91" s="79"/>
      <c r="I91" s="76"/>
      <c r="K91" s="544"/>
      <c r="L91" s="106"/>
      <c r="M91" s="79"/>
      <c r="N91" s="76"/>
      <c r="P91" s="544"/>
      <c r="Q91" s="106"/>
      <c r="R91" s="79"/>
      <c r="S91" s="76"/>
    </row>
    <row r="92" spans="1:19" x14ac:dyDescent="0.25">
      <c r="A92" s="547"/>
      <c r="B92" s="548"/>
      <c r="C92" s="549" t="s">
        <v>97</v>
      </c>
      <c r="D92" s="76"/>
      <c r="F92" s="547"/>
      <c r="G92" s="548"/>
      <c r="H92" s="549" t="s">
        <v>97</v>
      </c>
      <c r="I92" s="76"/>
      <c r="K92" s="547"/>
      <c r="L92" s="548"/>
      <c r="M92" s="549" t="s">
        <v>97</v>
      </c>
      <c r="N92" s="76"/>
      <c r="P92" s="547"/>
      <c r="Q92" s="548"/>
      <c r="R92" s="549" t="s">
        <v>97</v>
      </c>
      <c r="S92" s="76"/>
    </row>
    <row r="93" spans="1:19" x14ac:dyDescent="0.25">
      <c r="A93" s="53"/>
      <c r="B93" s="550"/>
      <c r="C93" s="82" t="s">
        <v>98</v>
      </c>
      <c r="D93" s="75"/>
      <c r="F93" s="53"/>
      <c r="G93" s="550"/>
      <c r="H93" s="82" t="s">
        <v>98</v>
      </c>
      <c r="I93" s="75"/>
      <c r="K93" s="53"/>
      <c r="L93" s="550"/>
      <c r="M93" s="82" t="s">
        <v>98</v>
      </c>
      <c r="N93" s="75"/>
      <c r="P93" s="53"/>
      <c r="Q93" s="550"/>
      <c r="R93" s="82" t="s">
        <v>98</v>
      </c>
      <c r="S93" s="75"/>
    </row>
    <row r="94" spans="1:19" x14ac:dyDescent="0.25">
      <c r="A94" s="53"/>
      <c r="B94" s="54"/>
      <c r="C94" s="74" t="s">
        <v>101</v>
      </c>
      <c r="D94" s="86"/>
      <c r="F94" s="53"/>
      <c r="G94" s="54"/>
      <c r="H94" s="74" t="s">
        <v>101</v>
      </c>
      <c r="I94" s="86"/>
      <c r="K94" s="53"/>
      <c r="L94" s="54"/>
      <c r="M94" s="74" t="s">
        <v>101</v>
      </c>
      <c r="N94" s="86"/>
      <c r="P94" s="53"/>
      <c r="Q94" s="54"/>
      <c r="R94" s="74" t="s">
        <v>101</v>
      </c>
      <c r="S94" s="86"/>
    </row>
    <row r="95" spans="1:19" x14ac:dyDescent="0.25">
      <c r="A95" s="53"/>
      <c r="B95" s="513" t="s">
        <v>102</v>
      </c>
      <c r="C95" s="513"/>
      <c r="D95" s="87"/>
      <c r="F95" s="53"/>
      <c r="G95" s="513" t="s">
        <v>102</v>
      </c>
      <c r="H95" s="513"/>
      <c r="I95" s="87"/>
      <c r="K95" s="53"/>
      <c r="L95" s="513" t="s">
        <v>102</v>
      </c>
      <c r="M95" s="513"/>
      <c r="N95" s="87"/>
      <c r="P95" s="53"/>
      <c r="Q95" s="513" t="s">
        <v>102</v>
      </c>
      <c r="R95" s="513"/>
      <c r="S95" s="87"/>
    </row>
    <row r="96" spans="1:19" x14ac:dyDescent="0.25">
      <c r="A96" s="53"/>
      <c r="B96" s="54"/>
      <c r="C96" s="74" t="s">
        <v>103</v>
      </c>
      <c r="D96" s="89">
        <f>(D95*D94)+D95</f>
        <v>0</v>
      </c>
      <c r="F96" s="53"/>
      <c r="G96" s="54"/>
      <c r="H96" s="74" t="s">
        <v>103</v>
      </c>
      <c r="I96" s="89">
        <f>(I95*I94)+I95</f>
        <v>0</v>
      </c>
      <c r="K96" s="53"/>
      <c r="L96" s="54"/>
      <c r="M96" s="74" t="s">
        <v>103</v>
      </c>
      <c r="N96" s="89">
        <f>(N95*N94)+N95</f>
        <v>0</v>
      </c>
      <c r="P96" s="53"/>
      <c r="Q96" s="54"/>
      <c r="R96" s="74" t="s">
        <v>103</v>
      </c>
      <c r="S96" s="89">
        <f>(S95*S94)+S95</f>
        <v>0</v>
      </c>
    </row>
    <row r="97" spans="1:19" x14ac:dyDescent="0.25">
      <c r="A97" s="53"/>
      <c r="B97" s="54"/>
      <c r="C97" s="74" t="s">
        <v>104</v>
      </c>
      <c r="D97" s="91">
        <f>+D96-D95</f>
        <v>0</v>
      </c>
      <c r="F97" s="53"/>
      <c r="G97" s="54"/>
      <c r="H97" s="74" t="s">
        <v>104</v>
      </c>
      <c r="I97" s="91">
        <f>+I96-I95</f>
        <v>0</v>
      </c>
      <c r="K97" s="53"/>
      <c r="L97" s="54"/>
      <c r="M97" s="74" t="s">
        <v>104</v>
      </c>
      <c r="N97" s="91">
        <f>+N96-N95</f>
        <v>0</v>
      </c>
      <c r="P97" s="53"/>
      <c r="Q97" s="54"/>
      <c r="R97" s="74" t="s">
        <v>104</v>
      </c>
      <c r="S97" s="91">
        <f>+S96-S95</f>
        <v>0</v>
      </c>
    </row>
    <row r="98" spans="1:19" x14ac:dyDescent="0.25">
      <c r="A98" s="53"/>
      <c r="B98" s="54"/>
      <c r="C98" s="74" t="s">
        <v>105</v>
      </c>
      <c r="D98" s="91">
        <f>D97*D89</f>
        <v>0</v>
      </c>
      <c r="F98" s="53"/>
      <c r="G98" s="54"/>
      <c r="H98" s="74" t="s">
        <v>105</v>
      </c>
      <c r="I98" s="91">
        <f>I97*I89</f>
        <v>0</v>
      </c>
      <c r="K98" s="53"/>
      <c r="L98" s="54"/>
      <c r="M98" s="74" t="s">
        <v>105</v>
      </c>
      <c r="N98" s="91">
        <f>N97*N89</f>
        <v>0</v>
      </c>
      <c r="P98" s="53"/>
      <c r="Q98" s="54"/>
      <c r="R98" s="74" t="s">
        <v>105</v>
      </c>
      <c r="S98" s="91">
        <f>S97*S89</f>
        <v>0</v>
      </c>
    </row>
    <row r="99" spans="1:19" x14ac:dyDescent="0.25">
      <c r="A99" s="53"/>
      <c r="B99" s="54"/>
      <c r="C99" s="55"/>
      <c r="D99" s="92"/>
      <c r="F99" s="53"/>
      <c r="G99" s="54"/>
      <c r="H99" s="55"/>
      <c r="I99" s="92"/>
      <c r="K99" s="53"/>
      <c r="L99" s="54"/>
      <c r="M99" s="55"/>
      <c r="N99" s="92"/>
      <c r="P99" s="53"/>
      <c r="Q99" s="54"/>
      <c r="R99" s="55"/>
      <c r="S99" s="92"/>
    </row>
    <row r="100" spans="1:19" x14ac:dyDescent="0.25">
      <c r="A100" s="93"/>
      <c r="B100" s="94"/>
      <c r="C100" s="80" t="s">
        <v>107</v>
      </c>
      <c r="D100" s="91"/>
      <c r="F100" s="93"/>
      <c r="G100" s="94"/>
      <c r="H100" s="80" t="s">
        <v>107</v>
      </c>
      <c r="I100" s="91"/>
      <c r="K100" s="93"/>
      <c r="L100" s="94"/>
      <c r="M100" s="80" t="s">
        <v>107</v>
      </c>
      <c r="N100" s="91"/>
      <c r="P100" s="93"/>
      <c r="Q100" s="94"/>
      <c r="R100" s="80" t="s">
        <v>107</v>
      </c>
      <c r="S100" s="91"/>
    </row>
    <row r="101" spans="1:19" x14ac:dyDescent="0.25">
      <c r="A101" s="514" t="s">
        <v>449</v>
      </c>
      <c r="B101" s="514"/>
      <c r="C101" s="514"/>
      <c r="D101" s="95"/>
      <c r="F101" s="514" t="s">
        <v>449</v>
      </c>
      <c r="G101" s="514"/>
      <c r="H101" s="514"/>
      <c r="I101" s="95"/>
      <c r="K101" s="514" t="s">
        <v>449</v>
      </c>
      <c r="L101" s="514"/>
      <c r="M101" s="514"/>
      <c r="N101" s="95"/>
      <c r="P101" s="514" t="s">
        <v>449</v>
      </c>
      <c r="Q101" s="514"/>
      <c r="R101" s="514"/>
      <c r="S101" s="95"/>
    </row>
    <row r="102" spans="1:19" x14ac:dyDescent="0.25">
      <c r="A102" s="55"/>
      <c r="B102" s="55"/>
      <c r="C102" s="74" t="s">
        <v>110</v>
      </c>
      <c r="D102" s="91">
        <f>D101*D90</f>
        <v>0</v>
      </c>
      <c r="F102" s="55"/>
      <c r="G102" s="55"/>
      <c r="H102" s="74" t="s">
        <v>110</v>
      </c>
      <c r="I102" s="91">
        <f>I101*I90</f>
        <v>0</v>
      </c>
      <c r="K102" s="55"/>
      <c r="L102" s="55"/>
      <c r="M102" s="74" t="s">
        <v>110</v>
      </c>
      <c r="N102" s="91">
        <f>N101*N90</f>
        <v>0</v>
      </c>
      <c r="P102" s="55"/>
      <c r="Q102" s="55"/>
      <c r="R102" s="74" t="s">
        <v>110</v>
      </c>
      <c r="S102" s="91">
        <f>S101*S90</f>
        <v>0</v>
      </c>
    </row>
    <row r="103" spans="1:19" ht="13.8" thickBot="1" x14ac:dyDescent="0.3">
      <c r="A103" s="55"/>
      <c r="B103" s="55"/>
      <c r="C103" s="55"/>
      <c r="D103" s="91"/>
      <c r="F103" s="55"/>
      <c r="G103" s="55"/>
      <c r="H103" s="55"/>
      <c r="I103" s="91"/>
      <c r="K103" s="55"/>
      <c r="L103" s="55"/>
      <c r="M103" s="55"/>
      <c r="N103" s="91"/>
      <c r="P103" s="55"/>
      <c r="Q103" s="55"/>
      <c r="R103" s="55"/>
      <c r="S103" s="91"/>
    </row>
    <row r="104" spans="1:19" ht="13.8" thickBot="1" x14ac:dyDescent="0.3">
      <c r="A104" s="100"/>
      <c r="B104" s="78"/>
      <c r="C104" s="101" t="s">
        <v>112</v>
      </c>
      <c r="D104" s="102">
        <f>D102+D98</f>
        <v>0</v>
      </c>
      <c r="F104" s="100"/>
      <c r="G104" s="78"/>
      <c r="H104" s="101" t="s">
        <v>112</v>
      </c>
      <c r="I104" s="102">
        <f>I102+I98</f>
        <v>0</v>
      </c>
      <c r="K104" s="100"/>
      <c r="L104" s="78"/>
      <c r="M104" s="101" t="s">
        <v>112</v>
      </c>
      <c r="N104" s="102">
        <f>N102+N98</f>
        <v>0</v>
      </c>
      <c r="P104" s="100"/>
      <c r="Q104" s="78"/>
      <c r="R104" s="101" t="s">
        <v>112</v>
      </c>
      <c r="S104" s="102">
        <f>S102+S98</f>
        <v>0</v>
      </c>
    </row>
  </sheetData>
  <mergeCells count="40">
    <mergeCell ref="B95:C95"/>
    <mergeCell ref="G95:H95"/>
    <mergeCell ref="L95:M95"/>
    <mergeCell ref="Q95:R95"/>
    <mergeCell ref="A101:C101"/>
    <mergeCell ref="F101:H101"/>
    <mergeCell ref="K101:M101"/>
    <mergeCell ref="P101:R101"/>
    <mergeCell ref="B74:C74"/>
    <mergeCell ref="G74:H74"/>
    <mergeCell ref="L74:M74"/>
    <mergeCell ref="Q74:R74"/>
    <mergeCell ref="A80:C80"/>
    <mergeCell ref="F80:H80"/>
    <mergeCell ref="K80:M80"/>
    <mergeCell ref="P80:R80"/>
    <mergeCell ref="B53:C53"/>
    <mergeCell ref="G53:H53"/>
    <mergeCell ref="L53:M53"/>
    <mergeCell ref="Q53:R53"/>
    <mergeCell ref="A59:C59"/>
    <mergeCell ref="F59:H59"/>
    <mergeCell ref="K59:M59"/>
    <mergeCell ref="P59:R59"/>
    <mergeCell ref="B32:C32"/>
    <mergeCell ref="G32:H32"/>
    <mergeCell ref="L32:M32"/>
    <mergeCell ref="Q32:R32"/>
    <mergeCell ref="A38:C38"/>
    <mergeCell ref="F38:H38"/>
    <mergeCell ref="K38:M38"/>
    <mergeCell ref="P38:R38"/>
    <mergeCell ref="B11:C11"/>
    <mergeCell ref="G11:H11"/>
    <mergeCell ref="L11:M11"/>
    <mergeCell ref="Q11:R11"/>
    <mergeCell ref="A17:C17"/>
    <mergeCell ref="F17:H17"/>
    <mergeCell ref="K17:M17"/>
    <mergeCell ref="P17:R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8ECC4-0C7F-43DE-B847-D7F7207C23EF}">
  <sheetPr>
    <pageSetUpPr fitToPage="1"/>
  </sheetPr>
  <dimension ref="A1:AX85"/>
  <sheetViews>
    <sheetView defaultGridColor="0" view="pageBreakPreview" colorId="31" zoomScaleSheetLayoutView="100" workbookViewId="0">
      <selection activeCell="AS36" sqref="AS36"/>
    </sheetView>
  </sheetViews>
  <sheetFormatPr baseColWidth="10" defaultRowHeight="12.75" customHeight="1" x14ac:dyDescent="0.25"/>
  <cols>
    <col min="1" max="2" width="10.33203125" customWidth="1"/>
    <col min="3" max="3" width="12.88671875" customWidth="1"/>
    <col min="4" max="4" width="10.33203125" customWidth="1"/>
    <col min="5" max="5" width="12.6640625" customWidth="1"/>
    <col min="6" max="6" width="9" customWidth="1"/>
    <col min="7" max="7" width="12.6640625" customWidth="1"/>
    <col min="8" max="8" width="11.33203125" customWidth="1"/>
    <col min="9" max="12" width="10.6640625" customWidth="1"/>
    <col min="13" max="14" width="10.44140625" customWidth="1"/>
    <col min="15" max="15" width="12.6640625" customWidth="1"/>
    <col min="16" max="18" width="10.44140625" customWidth="1"/>
    <col min="19" max="20" width="10.109375" customWidth="1"/>
    <col min="21" max="21" width="11.6640625" customWidth="1"/>
    <col min="22" max="24" width="10.109375" customWidth="1"/>
    <col min="25" max="26" width="9.33203125" customWidth="1"/>
    <col min="27" max="27" width="12.5546875" customWidth="1"/>
    <col min="28" max="30" width="12" customWidth="1"/>
    <col min="31" max="32" width="9.33203125" customWidth="1"/>
    <col min="33" max="33" width="11.6640625" customWidth="1"/>
    <col min="34" max="34" width="11.109375" customWidth="1"/>
    <col min="35" max="35" width="10.44140625" customWidth="1"/>
    <col min="37" max="37" width="9.6640625" customWidth="1"/>
    <col min="38" max="38" width="10.5546875" customWidth="1"/>
    <col min="40" max="40" width="11.33203125" customWidth="1"/>
    <col min="41" max="42" width="9.6640625" customWidth="1"/>
    <col min="43" max="43" width="11.88671875" customWidth="1"/>
    <col min="44" max="45" width="12.88671875" customWidth="1"/>
    <col min="46" max="46" width="11.44140625" customWidth="1"/>
    <col min="47" max="47" width="12" customWidth="1"/>
    <col min="48" max="48" width="12.109375" customWidth="1"/>
  </cols>
  <sheetData>
    <row r="1" spans="1:50" ht="12.75" customHeight="1" x14ac:dyDescent="0.25">
      <c r="A1" s="307" t="s">
        <v>263</v>
      </c>
      <c r="B1" s="308"/>
      <c r="C1" s="309"/>
      <c r="D1" s="309"/>
      <c r="E1" s="309"/>
      <c r="F1" s="309"/>
      <c r="H1" s="309"/>
      <c r="I1" s="309"/>
      <c r="L1" s="310"/>
      <c r="M1" s="309"/>
      <c r="N1" s="309"/>
      <c r="O1" s="309"/>
      <c r="P1" s="309"/>
      <c r="Q1" s="309"/>
      <c r="R1" s="309"/>
      <c r="S1" s="309"/>
      <c r="T1" s="309"/>
      <c r="U1" s="309"/>
      <c r="V1" s="309"/>
      <c r="W1" s="309"/>
      <c r="X1" s="309"/>
      <c r="Y1" s="309"/>
      <c r="Z1" s="309"/>
      <c r="AA1" s="309"/>
      <c r="AB1" s="309"/>
      <c r="AC1" s="309"/>
      <c r="AD1" s="309"/>
      <c r="AE1" t="s">
        <v>4</v>
      </c>
      <c r="AF1" s="311"/>
      <c r="AG1" s="311"/>
      <c r="AH1" s="311"/>
      <c r="AI1" s="309"/>
      <c r="AJ1" s="309"/>
    </row>
    <row r="2" spans="1:50" ht="39" customHeight="1" x14ac:dyDescent="0.25">
      <c r="A2" s="36"/>
      <c r="B2" s="525" t="s">
        <v>264</v>
      </c>
      <c r="C2" s="525"/>
      <c r="D2" s="312">
        <f>'Test de compensation'!D145</f>
        <v>0.02</v>
      </c>
      <c r="E2" s="526" t="s">
        <v>265</v>
      </c>
      <c r="F2" s="526"/>
      <c r="G2" s="313">
        <f>'Test de compensation'!D92+'Test de compensation'!D93</f>
        <v>0.03</v>
      </c>
      <c r="H2" s="314" t="s">
        <v>266</v>
      </c>
      <c r="I2" s="314"/>
      <c r="J2" s="315">
        <f>'Test de compensation'!D143</f>
        <v>0.02</v>
      </c>
      <c r="K2" s="21"/>
      <c r="L2" s="2"/>
      <c r="M2" s="2" t="s">
        <v>267</v>
      </c>
      <c r="N2" s="2"/>
      <c r="O2" s="2"/>
      <c r="P2" s="2"/>
      <c r="Q2" s="2"/>
      <c r="R2" s="2"/>
      <c r="S2" s="316">
        <f>'Test de compensation'!D133</f>
        <v>3000000</v>
      </c>
      <c r="T2" s="316"/>
      <c r="U2" s="316"/>
      <c r="V2" s="316"/>
      <c r="W2" s="316"/>
      <c r="X2" s="316"/>
      <c r="Y2" s="2"/>
      <c r="Z2" s="2"/>
      <c r="AA2" s="2"/>
      <c r="AB2" s="2"/>
      <c r="AC2" s="2"/>
      <c r="AD2" s="2"/>
      <c r="AE2" s="317"/>
      <c r="AF2" s="2"/>
      <c r="AG2" s="2"/>
      <c r="AH2" s="2"/>
      <c r="AI2" s="2"/>
      <c r="AJ2" s="2"/>
    </row>
    <row r="3" spans="1:50" ht="12.75" customHeight="1" x14ac:dyDescent="0.25">
      <c r="A3" s="36"/>
      <c r="B3" s="36"/>
      <c r="C3" s="2"/>
      <c r="D3" s="318"/>
      <c r="E3" s="153"/>
      <c r="F3" s="153"/>
      <c r="G3" s="153"/>
      <c r="H3" s="153"/>
      <c r="I3" s="153"/>
      <c r="J3" s="2"/>
      <c r="K3" s="2"/>
      <c r="L3" s="2"/>
      <c r="M3" s="2" t="s">
        <v>268</v>
      </c>
      <c r="N3" s="2"/>
      <c r="O3" s="2"/>
      <c r="P3" s="2"/>
      <c r="Q3" s="2"/>
      <c r="R3" s="2"/>
      <c r="S3" s="319">
        <f>'Test de compensation'!D142</f>
        <v>25</v>
      </c>
      <c r="T3" s="316"/>
      <c r="U3" s="316"/>
      <c r="V3" s="316"/>
      <c r="W3" s="316"/>
      <c r="X3" s="316"/>
      <c r="Y3" s="2" t="s">
        <v>269</v>
      </c>
      <c r="Z3" s="2"/>
      <c r="AA3" s="2"/>
      <c r="AB3" s="2"/>
      <c r="AC3" s="2"/>
      <c r="AD3" s="2"/>
      <c r="AE3" s="320">
        <f>S3</f>
        <v>25</v>
      </c>
      <c r="AF3" s="320"/>
      <c r="AG3" s="320"/>
      <c r="AH3" s="2"/>
      <c r="AI3" s="2"/>
      <c r="AJ3" s="2"/>
    </row>
    <row r="4" spans="1:50" ht="12.75" customHeight="1" x14ac:dyDescent="0.25">
      <c r="A4" s="36"/>
      <c r="B4" s="36"/>
      <c r="C4" s="527" t="s">
        <v>270</v>
      </c>
      <c r="D4" s="527"/>
      <c r="E4" s="527"/>
      <c r="F4" s="527"/>
      <c r="G4" s="527"/>
      <c r="H4" s="527"/>
      <c r="I4" s="527"/>
      <c r="J4" s="527"/>
      <c r="K4" s="321" t="s">
        <v>201</v>
      </c>
      <c r="L4" s="321" t="s">
        <v>4</v>
      </c>
      <c r="M4" s="528" t="s">
        <v>4</v>
      </c>
      <c r="N4" s="528"/>
      <c r="O4" s="528"/>
      <c r="P4" s="528"/>
      <c r="Q4" s="528"/>
      <c r="R4" s="528"/>
      <c r="S4" s="528"/>
      <c r="T4" s="528"/>
      <c r="U4" s="528"/>
      <c r="V4" s="528"/>
      <c r="W4" s="528"/>
      <c r="X4" s="528"/>
      <c r="Y4" s="528"/>
      <c r="Z4" s="528"/>
      <c r="AA4" s="528"/>
      <c r="AB4" s="528"/>
      <c r="AC4" s="528"/>
      <c r="AD4" s="528"/>
      <c r="AE4" s="528"/>
      <c r="AF4" s="528"/>
      <c r="AG4" s="528"/>
      <c r="AH4" s="528"/>
      <c r="AI4" s="528"/>
      <c r="AJ4" s="528"/>
      <c r="AK4" s="528"/>
      <c r="AL4" s="528"/>
      <c r="AM4" s="528"/>
      <c r="AN4" s="528"/>
      <c r="AO4" s="527" t="s">
        <v>271</v>
      </c>
      <c r="AP4" s="527"/>
      <c r="AQ4" s="527"/>
      <c r="AR4" s="527"/>
      <c r="AS4" s="527"/>
      <c r="AT4" s="322"/>
      <c r="AU4" s="323" t="s">
        <v>272</v>
      </c>
      <c r="AV4" s="323" t="s">
        <v>273</v>
      </c>
      <c r="AW4" s="324" t="s">
        <v>4</v>
      </c>
    </row>
    <row r="5" spans="1:50" ht="57" customHeight="1" x14ac:dyDescent="0.25">
      <c r="A5" s="36"/>
      <c r="B5" s="36"/>
      <c r="C5" s="325" t="s">
        <v>274</v>
      </c>
      <c r="D5" s="326" t="s">
        <v>275</v>
      </c>
      <c r="E5" s="327" t="s">
        <v>276</v>
      </c>
      <c r="F5" s="328" t="s">
        <v>277</v>
      </c>
      <c r="G5" s="328" t="s">
        <v>278</v>
      </c>
      <c r="H5" s="327" t="s">
        <v>279</v>
      </c>
      <c r="I5" s="327" t="s">
        <v>138</v>
      </c>
      <c r="J5" s="329" t="s">
        <v>280</v>
      </c>
      <c r="K5" s="330"/>
      <c r="L5" s="529" t="s">
        <v>281</v>
      </c>
      <c r="M5" s="529"/>
      <c r="N5" s="529"/>
      <c r="O5" s="529"/>
      <c r="P5" s="529"/>
      <c r="Q5" s="327"/>
      <c r="R5" s="530" t="s">
        <v>282</v>
      </c>
      <c r="S5" s="530"/>
      <c r="T5" s="530"/>
      <c r="U5" s="530"/>
      <c r="V5" s="530"/>
      <c r="W5" s="332"/>
      <c r="X5" s="529" t="s">
        <v>283</v>
      </c>
      <c r="Y5" s="529"/>
      <c r="Z5" s="529"/>
      <c r="AA5" s="529"/>
      <c r="AB5" s="529"/>
      <c r="AC5" s="332"/>
      <c r="AD5" s="529" t="s">
        <v>284</v>
      </c>
      <c r="AE5" s="529"/>
      <c r="AF5" s="529"/>
      <c r="AG5" s="529"/>
      <c r="AH5" s="529"/>
      <c r="AI5" s="531" t="s">
        <v>437</v>
      </c>
      <c r="AJ5" s="531"/>
      <c r="AK5" s="333" t="s">
        <v>285</v>
      </c>
      <c r="AL5" s="334" t="s">
        <v>286</v>
      </c>
      <c r="AM5" s="335" t="s">
        <v>287</v>
      </c>
      <c r="AN5" s="335" t="s">
        <v>288</v>
      </c>
      <c r="AO5" s="331" t="s">
        <v>289</v>
      </c>
      <c r="AP5" s="336" t="s">
        <v>290</v>
      </c>
      <c r="AQ5" s="533" t="s">
        <v>291</v>
      </c>
      <c r="AR5" s="533"/>
      <c r="AS5" s="337" t="s">
        <v>280</v>
      </c>
      <c r="AT5" s="338"/>
      <c r="AU5" s="339"/>
      <c r="AV5" s="339"/>
      <c r="AW5" s="340"/>
    </row>
    <row r="6" spans="1:50" ht="69.75" customHeight="1" x14ac:dyDescent="0.25">
      <c r="A6" s="77" t="s">
        <v>292</v>
      </c>
      <c r="B6" s="341" t="s">
        <v>293</v>
      </c>
      <c r="C6" s="342" t="s">
        <v>294</v>
      </c>
      <c r="D6" s="343" t="s">
        <v>295</v>
      </c>
      <c r="E6" s="343" t="s">
        <v>296</v>
      </c>
      <c r="F6" s="344" t="s">
        <v>297</v>
      </c>
      <c r="G6" s="344" t="s">
        <v>298</v>
      </c>
      <c r="H6" s="343" t="s">
        <v>299</v>
      </c>
      <c r="I6" s="343" t="s">
        <v>138</v>
      </c>
      <c r="J6" s="345" t="s">
        <v>300</v>
      </c>
      <c r="K6" s="346" t="s">
        <v>292</v>
      </c>
      <c r="L6" s="347" t="s">
        <v>301</v>
      </c>
      <c r="M6" s="343" t="s">
        <v>302</v>
      </c>
      <c r="N6" s="348" t="s">
        <v>303</v>
      </c>
      <c r="O6" s="343" t="s">
        <v>304</v>
      </c>
      <c r="P6" s="349" t="s">
        <v>305</v>
      </c>
      <c r="Q6" s="343" t="s">
        <v>292</v>
      </c>
      <c r="R6" s="343" t="s">
        <v>301</v>
      </c>
      <c r="S6" s="343" t="s">
        <v>302</v>
      </c>
      <c r="T6" s="348" t="s">
        <v>303</v>
      </c>
      <c r="U6" s="343" t="s">
        <v>304</v>
      </c>
      <c r="V6" s="349" t="s">
        <v>305</v>
      </c>
      <c r="W6" s="343" t="s">
        <v>292</v>
      </c>
      <c r="X6" s="343" t="s">
        <v>301</v>
      </c>
      <c r="Y6" s="343" t="s">
        <v>302</v>
      </c>
      <c r="Z6" s="348" t="s">
        <v>303</v>
      </c>
      <c r="AA6" s="343" t="s">
        <v>304</v>
      </c>
      <c r="AB6" s="349" t="s">
        <v>305</v>
      </c>
      <c r="AC6" s="343" t="s">
        <v>292</v>
      </c>
      <c r="AD6" s="343" t="s">
        <v>301</v>
      </c>
      <c r="AE6" s="343" t="s">
        <v>302</v>
      </c>
      <c r="AF6" s="348" t="s">
        <v>303</v>
      </c>
      <c r="AG6" s="343" t="s">
        <v>304</v>
      </c>
      <c r="AH6" s="343" t="s">
        <v>305</v>
      </c>
      <c r="AI6" s="350" t="s">
        <v>306</v>
      </c>
      <c r="AJ6" s="495" t="s">
        <v>441</v>
      </c>
      <c r="AK6" s="351" t="s">
        <v>307</v>
      </c>
      <c r="AL6" s="352"/>
      <c r="AM6" s="353" t="s">
        <v>209</v>
      </c>
      <c r="AN6" s="353" t="s">
        <v>308</v>
      </c>
      <c r="AO6" s="351" t="s">
        <v>309</v>
      </c>
      <c r="AP6" s="352" t="s">
        <v>310</v>
      </c>
      <c r="AQ6" s="352" t="s">
        <v>311</v>
      </c>
      <c r="AR6" s="352" t="s">
        <v>312</v>
      </c>
      <c r="AS6" s="354" t="s">
        <v>4</v>
      </c>
      <c r="AT6" s="354"/>
      <c r="AU6" s="355" t="s">
        <v>229</v>
      </c>
      <c r="AV6" s="354" t="s">
        <v>231</v>
      </c>
      <c r="AW6" s="356" t="s">
        <v>4</v>
      </c>
      <c r="AX6" s="357" t="s">
        <v>4</v>
      </c>
    </row>
    <row r="7" spans="1:50" ht="12.75" customHeight="1" x14ac:dyDescent="0.25">
      <c r="A7" s="358">
        <v>1</v>
      </c>
      <c r="B7" s="359">
        <f>D2</f>
        <v>0.02</v>
      </c>
      <c r="C7" s="360">
        <f>'Test de compensation'!D84</f>
        <v>3942.9071999999751</v>
      </c>
      <c r="D7" s="306">
        <f>'Test de compensation'!D88</f>
        <v>89442.72</v>
      </c>
      <c r="E7" s="306">
        <f>-(C7+D7)*$G$2</f>
        <v>-2801.5688159999991</v>
      </c>
      <c r="F7" s="65">
        <f>'Test de compensation'!D102</f>
        <v>111750</v>
      </c>
      <c r="G7" s="65">
        <f>'Test de compensation'!D103*-1</f>
        <v>-44700</v>
      </c>
      <c r="H7" s="306">
        <f>'Test de compensation'!D104</f>
        <v>1200</v>
      </c>
      <c r="I7" s="306">
        <f>'Test de compensation'!D105</f>
        <v>0</v>
      </c>
      <c r="J7" s="361">
        <f t="shared" ref="J7:J46" si="0">SUM(C7:I7)</f>
        <v>158834.05838399997</v>
      </c>
      <c r="K7" s="362">
        <f t="shared" ref="K7:K46" si="1">A7</f>
        <v>1</v>
      </c>
      <c r="L7" s="363">
        <f>'Test de compensation'!G129</f>
        <v>2.1500000000000002E-2</v>
      </c>
      <c r="M7" s="306">
        <f>IF('Test de compensation'!H129=0,0,PMT('Test de compensation'!G129,'Test de compensation'!H129,-'Test de compensation'!D129))</f>
        <v>104253.65752674981</v>
      </c>
      <c r="N7" s="316">
        <f>'Test de compensation'!D129*'Test de compensation'!G129</f>
        <v>43000</v>
      </c>
      <c r="O7" s="306">
        <f t="shared" ref="O7:O47" si="2">M7-N7</f>
        <v>61253.657526749812</v>
      </c>
      <c r="P7" s="364">
        <f>'Test de compensation'!D129-'Calculs détaillés'!O7</f>
        <v>1938746.3424732501</v>
      </c>
      <c r="Q7" s="362">
        <f t="shared" ref="Q7:Q46" si="3">K7</f>
        <v>1</v>
      </c>
      <c r="R7" s="153">
        <f>'Test de compensation'!G130</f>
        <v>0.03</v>
      </c>
      <c r="S7" s="306">
        <f>IF('Test de compensation'!H130=0,0,PMT('Test de compensation'!G130,'Test de compensation'!H130,-'Test de compensation'!D130))</f>
        <v>23269.645784799744</v>
      </c>
      <c r="T7" s="316">
        <f>'Test de compensation'!D130*'Test de compensation'!G130</f>
        <v>15000</v>
      </c>
      <c r="U7" s="306">
        <f>S7-T7</f>
        <v>8269.6457847997444</v>
      </c>
      <c r="V7" s="365">
        <f>'Test de compensation'!D130-'Calculs détaillés'!U7</f>
        <v>491730.35421520023</v>
      </c>
      <c r="W7" s="362">
        <f t="shared" ref="W7:W46" si="4">Q7</f>
        <v>1</v>
      </c>
      <c r="X7" s="153">
        <f>'Test de compensation'!G131</f>
        <v>2.5000000000000001E-3</v>
      </c>
      <c r="Y7" s="306">
        <f>IF('Test de compensation'!H131=0,0,PMT('Test de compensation'!G131,'Test de compensation'!H131,-'Test de compensation'!D131))</f>
        <v>12830.719306487212</v>
      </c>
      <c r="Z7" s="316">
        <f>'Test de compensation'!D131*'Calculs détaillés'!X7</f>
        <v>625</v>
      </c>
      <c r="AA7" s="306">
        <f t="shared" ref="AA7:AA46" si="5">Y7-Z7</f>
        <v>12205.719306487212</v>
      </c>
      <c r="AB7" s="365">
        <f>'Test de compensation'!D131-'Calculs détaillés'!AA7</f>
        <v>237794.28069351279</v>
      </c>
      <c r="AC7" s="362">
        <f t="shared" ref="AC7:AC46" si="6">W7</f>
        <v>1</v>
      </c>
      <c r="AD7" s="366">
        <f>'Test de compensation'!G132</f>
        <v>0.04</v>
      </c>
      <c r="AE7" s="306">
        <f>IF('Test de compensation'!H132=0,0,PMT('Test de compensation'!G132,'Test de compensation'!H132,-'Test de compensation'!D132))</f>
        <v>30822.736082534131</v>
      </c>
      <c r="AF7" s="316">
        <f>'Test de compensation'!D132*'Calculs détaillés'!AD7</f>
        <v>10000</v>
      </c>
      <c r="AG7" s="306">
        <f t="shared" ref="AG7:AG46" si="7">AE7-AF7</f>
        <v>20822.736082534131</v>
      </c>
      <c r="AH7" s="306">
        <f>'Test de compensation'!D132-'Calculs détaillés'!AG7</f>
        <v>229177.26391746587</v>
      </c>
      <c r="AI7" s="367">
        <f t="shared" ref="AI7:AI46" si="8">M7+S7+Y7+AE7</f>
        <v>171176.75870057091</v>
      </c>
      <c r="AJ7" s="368">
        <f>AF7+Z7+N7+T7</f>
        <v>68625</v>
      </c>
      <c r="AK7" s="369">
        <f>'Test de compensation'!D159</f>
        <v>60000</v>
      </c>
      <c r="AL7" s="370">
        <f>'Test de compensation'!D79</f>
        <v>6000000</v>
      </c>
      <c r="AM7" s="367" t="s">
        <v>4</v>
      </c>
      <c r="AN7" s="361" t="s">
        <v>4</v>
      </c>
      <c r="AO7" s="365">
        <f>'Test de compensation'!D122</f>
        <v>2000000</v>
      </c>
      <c r="AP7" s="367">
        <f>'Test de compensation'!C180</f>
        <v>0</v>
      </c>
      <c r="AQ7" s="367">
        <v>0</v>
      </c>
      <c r="AR7" s="367">
        <v>0</v>
      </c>
      <c r="AS7" s="371">
        <f t="shared" ref="AS7:AS47" si="9">AO7+AP7+AQ7+AR7</f>
        <v>2000000</v>
      </c>
      <c r="AT7" s="372">
        <f>'Test de compensation'!D124</f>
        <v>1000000</v>
      </c>
      <c r="AU7" s="372">
        <f>AT7*'Test de compensation'!$D$149</f>
        <v>35000</v>
      </c>
      <c r="AV7" s="372" t="s">
        <v>4</v>
      </c>
      <c r="AW7" s="367" t="s">
        <v>4</v>
      </c>
      <c r="AX7" s="306" t="s">
        <v>4</v>
      </c>
    </row>
    <row r="8" spans="1:50" ht="12.75" customHeight="1" x14ac:dyDescent="0.25">
      <c r="A8" s="358">
        <v>2</v>
      </c>
      <c r="B8" s="359">
        <f t="shared" ref="B8:B46" si="10">B7</f>
        <v>0.02</v>
      </c>
      <c r="C8" s="360">
        <f>C7+(C7*D2)</f>
        <v>4021.7653439999744</v>
      </c>
      <c r="D8" s="306">
        <f>IF(A8&gt;'Test de compensation'!$D$87,0,'Calculs détaillés'!D7)</f>
        <v>89442.72</v>
      </c>
      <c r="E8" s="306">
        <f t="shared" ref="E8:E46" si="11">-(C8+D8)*$G$2</f>
        <v>-2803.934560319999</v>
      </c>
      <c r="F8" s="65">
        <v>0</v>
      </c>
      <c r="G8" s="65">
        <v>0</v>
      </c>
      <c r="H8" s="306">
        <f>H7+(H7*B8)</f>
        <v>1224</v>
      </c>
      <c r="I8" s="65">
        <v>0</v>
      </c>
      <c r="J8" s="361">
        <f t="shared" si="0"/>
        <v>91884.550783679966</v>
      </c>
      <c r="K8" s="362">
        <f t="shared" si="1"/>
        <v>2</v>
      </c>
      <c r="L8" s="366">
        <f t="shared" ref="L8:L46" si="12">L7</f>
        <v>2.1500000000000002E-2</v>
      </c>
      <c r="M8" s="306">
        <f>IF(A8&gt;'Test de compensation'!$H$129,0,'Calculs détaillés'!M7)</f>
        <v>104253.65752674981</v>
      </c>
      <c r="N8" s="316">
        <f t="shared" ref="N8:N46" si="13">P7*L7</f>
        <v>41683.046363174879</v>
      </c>
      <c r="O8" s="306">
        <f t="shared" si="2"/>
        <v>62570.611163574933</v>
      </c>
      <c r="P8" s="365">
        <f t="shared" ref="P8:P46" si="14">P7-O8</f>
        <v>1876175.7313096751</v>
      </c>
      <c r="Q8" s="362">
        <f t="shared" si="3"/>
        <v>2</v>
      </c>
      <c r="R8" s="153">
        <f t="shared" ref="R8:R46" si="15">R7</f>
        <v>0.03</v>
      </c>
      <c r="S8" s="306">
        <f>IF(Q8&gt;'Test de compensation'!$H$130,0,'Calculs détaillés'!S7)</f>
        <v>23269.645784799744</v>
      </c>
      <c r="T8" s="316">
        <f t="shared" ref="T8:T46" si="16">V7*R7</f>
        <v>14751.910626456007</v>
      </c>
      <c r="U8" s="306">
        <f t="shared" ref="U8:U46" si="17">S8-T8</f>
        <v>8517.7351583437376</v>
      </c>
      <c r="V8" s="365">
        <f t="shared" ref="V8:V46" si="18">V7-U8</f>
        <v>483212.61905685649</v>
      </c>
      <c r="W8" s="362">
        <f t="shared" si="4"/>
        <v>2</v>
      </c>
      <c r="X8" s="153">
        <f t="shared" ref="X8:X46" si="19">X7</f>
        <v>2.5000000000000001E-3</v>
      </c>
      <c r="Y8" s="306">
        <f>IF(W8&gt;'Test de compensation'!$H$131,0,'Calculs détaillés'!Y7)</f>
        <v>12830.719306487212</v>
      </c>
      <c r="Z8" s="316">
        <f t="shared" ref="Z8:Z46" si="20">AB7*X8</f>
        <v>594.48570173378198</v>
      </c>
      <c r="AA8" s="306">
        <f t="shared" si="5"/>
        <v>12236.23360475343</v>
      </c>
      <c r="AB8" s="365">
        <f t="shared" ref="AB8:AB46" si="21">AB7-AA8</f>
        <v>225558.04708875937</v>
      </c>
      <c r="AC8" s="362">
        <f t="shared" si="6"/>
        <v>2</v>
      </c>
      <c r="AD8" s="366">
        <f t="shared" ref="AD8:AD46" si="22">AD7</f>
        <v>0.04</v>
      </c>
      <c r="AE8" s="306">
        <f>IF(AC8&gt;'Test de compensation'!$H$132,0,'Calculs détaillés'!AE7)</f>
        <v>30822.736082534131</v>
      </c>
      <c r="AF8" s="316">
        <f t="shared" ref="AF8:AF46" si="23">AH7*AD8</f>
        <v>9167.0905566986348</v>
      </c>
      <c r="AG8" s="306">
        <f t="shared" si="7"/>
        <v>21655.645525835498</v>
      </c>
      <c r="AH8" s="306">
        <f t="shared" ref="AH8:AH46" si="24">AH7-AG8</f>
        <v>207521.61839163036</v>
      </c>
      <c r="AI8" s="367">
        <f t="shared" si="8"/>
        <v>171176.75870057091</v>
      </c>
      <c r="AJ8" s="368">
        <f>IF(A8&gt;'Test de compensation'!$D$142,0,AF8+Z8+N8+T8)</f>
        <v>66196.533248063308</v>
      </c>
      <c r="AK8" s="373">
        <v>0</v>
      </c>
      <c r="AL8" s="374">
        <v>0</v>
      </c>
      <c r="AM8" s="367" t="s">
        <v>4</v>
      </c>
      <c r="AN8" s="361" t="s">
        <v>4</v>
      </c>
      <c r="AO8" s="365">
        <v>0</v>
      </c>
      <c r="AP8" s="65">
        <v>0</v>
      </c>
      <c r="AQ8" s="367">
        <f>'Test de compensation'!D99</f>
        <v>400000</v>
      </c>
      <c r="AR8" s="367">
        <f>'Test de compensation'!D100</f>
        <v>10000</v>
      </c>
      <c r="AS8" s="371">
        <f t="shared" si="9"/>
        <v>410000</v>
      </c>
      <c r="AT8" s="372">
        <f>IF(ROUND(AT7,0)&gt;0,AT7-PMT('Test de compensation'!$D$149,'Test de compensation'!$D$142,-'Test de compensation'!$D$124)+AU7,0)</f>
        <v>974325.96458895621</v>
      </c>
      <c r="AU8" s="372">
        <f>AT8*'Test de compensation'!$D$149</f>
        <v>34101.408760613471</v>
      </c>
      <c r="AV8" s="372" t="s">
        <v>4</v>
      </c>
      <c r="AW8" s="367" t="s">
        <v>4</v>
      </c>
      <c r="AX8" s="306" t="s">
        <v>4</v>
      </c>
    </row>
    <row r="9" spans="1:50" ht="12.75" customHeight="1" x14ac:dyDescent="0.25">
      <c r="A9" s="358">
        <v>3</v>
      </c>
      <c r="B9" s="359">
        <f t="shared" si="10"/>
        <v>0.02</v>
      </c>
      <c r="C9" s="360">
        <f>IF(A9&gt;'Test de compensation'!$D$142,0,C8+(C8*B8))</f>
        <v>4102.2006508799741</v>
      </c>
      <c r="D9" s="306">
        <f>IF(A9&gt;'Test de compensation'!$D$87,0,'Calculs détaillés'!D8)</f>
        <v>89442.72</v>
      </c>
      <c r="E9" s="306">
        <f t="shared" si="11"/>
        <v>-2806.3476195263988</v>
      </c>
      <c r="F9" s="65">
        <v>0</v>
      </c>
      <c r="G9" s="65">
        <v>0</v>
      </c>
      <c r="H9" s="306">
        <f>IF(A9&gt;'Test de compensation'!$D$142,0,H8+H8*B8)</f>
        <v>1248.48</v>
      </c>
      <c r="I9" s="65">
        <v>0</v>
      </c>
      <c r="J9" s="361">
        <f t="shared" si="0"/>
        <v>91987.053031353571</v>
      </c>
      <c r="K9" s="362">
        <f t="shared" si="1"/>
        <v>3</v>
      </c>
      <c r="L9" s="366">
        <f t="shared" si="12"/>
        <v>2.1500000000000002E-2</v>
      </c>
      <c r="M9" s="306">
        <f>IF(A9&gt;'Test de compensation'!$H$129,0,'Calculs détaillés'!M8)</f>
        <v>104253.65752674981</v>
      </c>
      <c r="N9" s="316">
        <f t="shared" si="13"/>
        <v>40337.77822315802</v>
      </c>
      <c r="O9" s="306">
        <f t="shared" si="2"/>
        <v>63915.879303591792</v>
      </c>
      <c r="P9" s="365">
        <f>P8-O9</f>
        <v>1812259.8520060834</v>
      </c>
      <c r="Q9" s="362">
        <f t="shared" si="3"/>
        <v>3</v>
      </c>
      <c r="R9" s="153">
        <f t="shared" si="15"/>
        <v>0.03</v>
      </c>
      <c r="S9" s="306">
        <f>IF(Q9&gt;'Test de compensation'!$H$130,0,'Calculs détaillés'!S8)</f>
        <v>23269.645784799744</v>
      </c>
      <c r="T9" s="316">
        <f t="shared" si="16"/>
        <v>14496.378571705694</v>
      </c>
      <c r="U9" s="306">
        <f t="shared" si="17"/>
        <v>8773.26721309405</v>
      </c>
      <c r="V9" s="365">
        <f t="shared" si="18"/>
        <v>474439.35184376244</v>
      </c>
      <c r="W9" s="362">
        <f t="shared" si="4"/>
        <v>3</v>
      </c>
      <c r="X9" s="153">
        <f t="shared" si="19"/>
        <v>2.5000000000000001E-3</v>
      </c>
      <c r="Y9" s="306">
        <f>IF(W9&gt;'Test de compensation'!$H$131,0,'Calculs détaillés'!Y8)</f>
        <v>12830.719306487212</v>
      </c>
      <c r="Z9" s="316">
        <f t="shared" si="20"/>
        <v>563.89511772189849</v>
      </c>
      <c r="AA9" s="306">
        <f t="shared" si="5"/>
        <v>12266.824188765313</v>
      </c>
      <c r="AB9" s="365">
        <f t="shared" si="21"/>
        <v>213291.22289999406</v>
      </c>
      <c r="AC9" s="362">
        <f t="shared" si="6"/>
        <v>3</v>
      </c>
      <c r="AD9" s="366">
        <f t="shared" si="22"/>
        <v>0.04</v>
      </c>
      <c r="AE9" s="306">
        <f>IF(AC9&gt;'Test de compensation'!$H$132,0,'Calculs détaillés'!AE8)</f>
        <v>30822.736082534131</v>
      </c>
      <c r="AF9" s="316">
        <f t="shared" si="23"/>
        <v>8300.8647356652145</v>
      </c>
      <c r="AG9" s="306">
        <f t="shared" si="7"/>
        <v>22521.871346868917</v>
      </c>
      <c r="AH9" s="306">
        <f t="shared" si="24"/>
        <v>184999.74704476143</v>
      </c>
      <c r="AI9" s="367">
        <f t="shared" si="8"/>
        <v>171176.75870057091</v>
      </c>
      <c r="AJ9" s="368">
        <f>IF(A9&gt;'Test de compensation'!$D$142,0,AF9+Z9+N9+T9)</f>
        <v>63698.91664825083</v>
      </c>
      <c r="AK9" s="373">
        <v>0</v>
      </c>
      <c r="AL9" s="374">
        <v>0</v>
      </c>
      <c r="AM9" s="367" t="s">
        <v>4</v>
      </c>
      <c r="AN9" s="361" t="s">
        <v>4</v>
      </c>
      <c r="AO9" s="365">
        <v>0</v>
      </c>
      <c r="AP9" s="65">
        <v>0</v>
      </c>
      <c r="AQ9" s="367">
        <v>0</v>
      </c>
      <c r="AR9" s="367">
        <v>0</v>
      </c>
      <c r="AS9" s="371">
        <f t="shared" si="9"/>
        <v>0</v>
      </c>
      <c r="AT9" s="372">
        <f>IF(ROUND(AT8,0)&gt;0,AT8-PMT('Test de compensation'!$D$149,'Test de compensation'!$D$142,-'Test de compensation'!$D$124)+AU8,0)</f>
        <v>947753.33793852595</v>
      </c>
      <c r="AU9" s="372">
        <f>AT9*'Test de compensation'!$D$149</f>
        <v>33171.366827848411</v>
      </c>
      <c r="AV9" s="372" t="s">
        <v>4</v>
      </c>
      <c r="AW9" s="367" t="s">
        <v>4</v>
      </c>
      <c r="AX9" s="306" t="s">
        <v>4</v>
      </c>
    </row>
    <row r="10" spans="1:50" ht="12.75" customHeight="1" x14ac:dyDescent="0.25">
      <c r="A10" s="358">
        <v>4</v>
      </c>
      <c r="B10" s="359">
        <f t="shared" si="10"/>
        <v>0.02</v>
      </c>
      <c r="C10" s="360">
        <f>IF(A10&gt;'Test de compensation'!$D$142,0,C9+(C9*B9))</f>
        <v>4184.2446638975734</v>
      </c>
      <c r="D10" s="306">
        <f>IF(A10&gt;'Test de compensation'!$D$87,0,'Calculs détaillés'!D9)</f>
        <v>89442.72</v>
      </c>
      <c r="E10" s="306">
        <f t="shared" si="11"/>
        <v>-2808.8089399169271</v>
      </c>
      <c r="F10" s="65">
        <v>0</v>
      </c>
      <c r="G10" s="65">
        <v>0</v>
      </c>
      <c r="H10" s="306">
        <f>IF(A10&gt;'Test de compensation'!$D$142,0,H9+H9*B9)</f>
        <v>1273.4495999999999</v>
      </c>
      <c r="I10" s="65">
        <v>0</v>
      </c>
      <c r="J10" s="361">
        <f t="shared" si="0"/>
        <v>92091.60532398065</v>
      </c>
      <c r="K10" s="362">
        <f t="shared" si="1"/>
        <v>4</v>
      </c>
      <c r="L10" s="366">
        <f t="shared" si="12"/>
        <v>2.1500000000000002E-2</v>
      </c>
      <c r="M10" s="306">
        <f>IF(A10&gt;'Test de compensation'!$H$129,0,'Calculs détaillés'!M9)</f>
        <v>104253.65752674981</v>
      </c>
      <c r="N10" s="316">
        <f t="shared" si="13"/>
        <v>38963.586818130796</v>
      </c>
      <c r="O10" s="306">
        <f t="shared" si="2"/>
        <v>65290.070708619016</v>
      </c>
      <c r="P10" s="365">
        <f t="shared" si="14"/>
        <v>1746969.7812974644</v>
      </c>
      <c r="Q10" s="362">
        <f t="shared" si="3"/>
        <v>4</v>
      </c>
      <c r="R10" s="153">
        <f t="shared" si="15"/>
        <v>0.03</v>
      </c>
      <c r="S10" s="306">
        <f>IF(Q10&gt;'Test de compensation'!$H$130,0,'Calculs détaillés'!S9)</f>
        <v>23269.645784799744</v>
      </c>
      <c r="T10" s="316">
        <f t="shared" si="16"/>
        <v>14233.180555312872</v>
      </c>
      <c r="U10" s="306">
        <f t="shared" si="17"/>
        <v>9036.465229486872</v>
      </c>
      <c r="V10" s="365">
        <f t="shared" si="18"/>
        <v>465402.88661427557</v>
      </c>
      <c r="W10" s="362">
        <f t="shared" si="4"/>
        <v>4</v>
      </c>
      <c r="X10" s="153">
        <f t="shared" si="19"/>
        <v>2.5000000000000001E-3</v>
      </c>
      <c r="Y10" s="306">
        <f>IF(W10&gt;'Test de compensation'!$H$131,0,'Calculs détaillés'!Y9)</f>
        <v>12830.719306487212</v>
      </c>
      <c r="Z10" s="316">
        <f t="shared" si="20"/>
        <v>533.22805724998511</v>
      </c>
      <c r="AA10" s="306">
        <f t="shared" si="5"/>
        <v>12297.491249237226</v>
      </c>
      <c r="AB10" s="365">
        <f t="shared" si="21"/>
        <v>200993.73165075682</v>
      </c>
      <c r="AC10" s="362">
        <f t="shared" si="6"/>
        <v>4</v>
      </c>
      <c r="AD10" s="366">
        <f t="shared" si="22"/>
        <v>0.04</v>
      </c>
      <c r="AE10" s="306">
        <f>IF(AC10&gt;'Test de compensation'!$H$132,0,'Calculs détaillés'!AE9)</f>
        <v>30822.736082534131</v>
      </c>
      <c r="AF10" s="316">
        <f t="shared" si="23"/>
        <v>7399.9898817904577</v>
      </c>
      <c r="AG10" s="306">
        <f t="shared" si="7"/>
        <v>23422.746200743673</v>
      </c>
      <c r="AH10" s="306">
        <f t="shared" si="24"/>
        <v>161577.00084401775</v>
      </c>
      <c r="AI10" s="367">
        <f t="shared" si="8"/>
        <v>171176.75870057091</v>
      </c>
      <c r="AJ10" s="368">
        <f>IF(A10&gt;'Test de compensation'!$D$142,0,AF10+Z10+N10+T10)</f>
        <v>61129.98531248411</v>
      </c>
      <c r="AK10" s="373">
        <v>0</v>
      </c>
      <c r="AL10" s="374">
        <v>0</v>
      </c>
      <c r="AM10" s="367" t="s">
        <v>4</v>
      </c>
      <c r="AN10" s="361" t="s">
        <v>4</v>
      </c>
      <c r="AO10" s="365">
        <v>0</v>
      </c>
      <c r="AP10" s="65">
        <v>0</v>
      </c>
      <c r="AQ10" s="367">
        <v>0</v>
      </c>
      <c r="AR10" s="367">
        <v>0</v>
      </c>
      <c r="AS10" s="371">
        <f t="shared" si="9"/>
        <v>0</v>
      </c>
      <c r="AT10" s="372">
        <f>IF(ROUND(AT9,0)&gt;0,AT9-PMT('Test de compensation'!$D$149,'Test de compensation'!$D$142,-'Test de compensation'!$D$124)+AU9,0)</f>
        <v>920250.66935533052</v>
      </c>
      <c r="AU10" s="372">
        <f>AT10*'Test de compensation'!$D$149</f>
        <v>32208.773427436572</v>
      </c>
      <c r="AV10" s="372" t="s">
        <v>4</v>
      </c>
      <c r="AW10" s="367" t="s">
        <v>4</v>
      </c>
      <c r="AX10" s="306" t="s">
        <v>4</v>
      </c>
    </row>
    <row r="11" spans="1:50" ht="12.75" customHeight="1" x14ac:dyDescent="0.25">
      <c r="A11" s="358">
        <v>5</v>
      </c>
      <c r="B11" s="359">
        <f t="shared" si="10"/>
        <v>0.02</v>
      </c>
      <c r="C11" s="360">
        <f>IF(A11&gt;'Test de compensation'!$D$142,0,C10+(C10*B10))</f>
        <v>4267.9295571755247</v>
      </c>
      <c r="D11" s="306">
        <f>IF(A11&gt;'Test de compensation'!$D$87,0,'Calculs détaillés'!D10)</f>
        <v>89442.72</v>
      </c>
      <c r="E11" s="306">
        <f t="shared" si="11"/>
        <v>-2811.3194867152656</v>
      </c>
      <c r="F11" s="65">
        <v>0</v>
      </c>
      <c r="G11" s="65">
        <v>0</v>
      </c>
      <c r="H11" s="306">
        <f>IF(A11&gt;'Test de compensation'!$D$142,0,H10+H10*B10)</f>
        <v>1298.918592</v>
      </c>
      <c r="I11" s="65">
        <v>0</v>
      </c>
      <c r="J11" s="361">
        <f t="shared" si="0"/>
        <v>92198.248662460261</v>
      </c>
      <c r="K11" s="362">
        <f t="shared" si="1"/>
        <v>5</v>
      </c>
      <c r="L11" s="366">
        <f t="shared" si="12"/>
        <v>2.1500000000000002E-2</v>
      </c>
      <c r="M11" s="306">
        <f>IF(A11&gt;'Test de compensation'!$H$129,0,'Calculs détaillés'!M10)</f>
        <v>104253.65752674981</v>
      </c>
      <c r="N11" s="316">
        <f t="shared" si="13"/>
        <v>37559.850297895486</v>
      </c>
      <c r="O11" s="306">
        <f t="shared" si="2"/>
        <v>66693.807228854334</v>
      </c>
      <c r="P11" s="365">
        <f t="shared" si="14"/>
        <v>1680275.97406861</v>
      </c>
      <c r="Q11" s="362">
        <f t="shared" si="3"/>
        <v>5</v>
      </c>
      <c r="R11" s="153">
        <f t="shared" si="15"/>
        <v>0.03</v>
      </c>
      <c r="S11" s="306">
        <f>IF(Q11&gt;'Test de compensation'!$H$130,0,'Calculs détaillés'!S10)</f>
        <v>23269.645784799744</v>
      </c>
      <c r="T11" s="316">
        <f t="shared" si="16"/>
        <v>13962.086598428266</v>
      </c>
      <c r="U11" s="306">
        <f t="shared" si="17"/>
        <v>9307.5591863714781</v>
      </c>
      <c r="V11" s="365">
        <f t="shared" si="18"/>
        <v>456095.32742790412</v>
      </c>
      <c r="W11" s="362">
        <f t="shared" si="4"/>
        <v>5</v>
      </c>
      <c r="X11" s="153">
        <f t="shared" si="19"/>
        <v>2.5000000000000001E-3</v>
      </c>
      <c r="Y11" s="306">
        <f>IF(W11&gt;'Test de compensation'!$H$131,0,'Calculs détaillés'!Y10)</f>
        <v>12830.719306487212</v>
      </c>
      <c r="Z11" s="316">
        <f t="shared" si="20"/>
        <v>502.48432912689208</v>
      </c>
      <c r="AA11" s="306">
        <f t="shared" si="5"/>
        <v>12328.23497736032</v>
      </c>
      <c r="AB11" s="365">
        <f t="shared" si="21"/>
        <v>188665.4966733965</v>
      </c>
      <c r="AC11" s="362">
        <f t="shared" si="6"/>
        <v>5</v>
      </c>
      <c r="AD11" s="366">
        <f t="shared" si="22"/>
        <v>0.04</v>
      </c>
      <c r="AE11" s="306">
        <f>IF(AC11&gt;'Test de compensation'!$H$132,0,'Calculs détaillés'!AE10)</f>
        <v>30822.736082534131</v>
      </c>
      <c r="AF11" s="316">
        <f t="shared" si="23"/>
        <v>6463.0800337607097</v>
      </c>
      <c r="AG11" s="306">
        <f t="shared" si="7"/>
        <v>24359.65604877342</v>
      </c>
      <c r="AH11" s="306">
        <f t="shared" si="24"/>
        <v>137217.34479524434</v>
      </c>
      <c r="AI11" s="367">
        <f t="shared" si="8"/>
        <v>171176.75870057091</v>
      </c>
      <c r="AJ11" s="368">
        <f>IF(A11&gt;'Test de compensation'!$D$142,0,AF11+Z11+N11+T11)</f>
        <v>58487.501259211349</v>
      </c>
      <c r="AK11" s="373">
        <v>0</v>
      </c>
      <c r="AL11" s="374">
        <v>0</v>
      </c>
      <c r="AM11" s="367" t="s">
        <v>4</v>
      </c>
      <c r="AN11" s="361" t="s">
        <v>4</v>
      </c>
      <c r="AO11" s="365">
        <v>0</v>
      </c>
      <c r="AP11" s="65">
        <v>0</v>
      </c>
      <c r="AQ11" s="367">
        <v>0</v>
      </c>
      <c r="AR11" s="367">
        <v>0</v>
      </c>
      <c r="AS11" s="371">
        <f t="shared" si="9"/>
        <v>0</v>
      </c>
      <c r="AT11" s="372">
        <f>IF(ROUND(AT10,0)&gt;0,AT10-PMT('Test de compensation'!$D$149,'Test de compensation'!$D$142,-'Test de compensation'!$D$124)+AU10,0)</f>
        <v>891785.40737172333</v>
      </c>
      <c r="AU11" s="372">
        <f>AT11*'Test de compensation'!$D$149</f>
        <v>31212.489258010319</v>
      </c>
      <c r="AV11" s="372" t="s">
        <v>4</v>
      </c>
      <c r="AW11" s="367" t="s">
        <v>4</v>
      </c>
      <c r="AX11" s="306" t="s">
        <v>4</v>
      </c>
    </row>
    <row r="12" spans="1:50" ht="12.75" customHeight="1" x14ac:dyDescent="0.25">
      <c r="A12" s="358">
        <v>6</v>
      </c>
      <c r="B12" s="359">
        <f t="shared" si="10"/>
        <v>0.02</v>
      </c>
      <c r="C12" s="360">
        <f>IF(A12&gt;'Test de compensation'!$D$142,0,C11+(C11*B11))</f>
        <v>4353.2881483190349</v>
      </c>
      <c r="D12" s="306">
        <f>IF(A12&gt;'Test de compensation'!$D$87,0,'Calculs détaillés'!D11)</f>
        <v>89442.72</v>
      </c>
      <c r="E12" s="306">
        <f t="shared" si="11"/>
        <v>-2813.8802444495709</v>
      </c>
      <c r="F12" s="65">
        <v>0</v>
      </c>
      <c r="G12" s="65">
        <v>0</v>
      </c>
      <c r="H12" s="306">
        <f>IF(A12&gt;'Test de compensation'!$D$142,0,H11+H11*B11)</f>
        <v>1324.8969638399999</v>
      </c>
      <c r="I12" s="65">
        <v>0</v>
      </c>
      <c r="J12" s="361">
        <f t="shared" si="0"/>
        <v>92307.024867709464</v>
      </c>
      <c r="K12" s="362">
        <f t="shared" si="1"/>
        <v>6</v>
      </c>
      <c r="L12" s="366">
        <f t="shared" si="12"/>
        <v>2.1500000000000002E-2</v>
      </c>
      <c r="M12" s="306">
        <f>IF(A12&gt;'Test de compensation'!$H$129,0,'Calculs détaillés'!M11)</f>
        <v>104253.65752674981</v>
      </c>
      <c r="N12" s="316">
        <f t="shared" si="13"/>
        <v>36125.933442475121</v>
      </c>
      <c r="O12" s="306">
        <f t="shared" si="2"/>
        <v>68127.724084274698</v>
      </c>
      <c r="P12" s="365">
        <f t="shared" si="14"/>
        <v>1612148.2499843354</v>
      </c>
      <c r="Q12" s="362">
        <f t="shared" si="3"/>
        <v>6</v>
      </c>
      <c r="R12" s="153">
        <f t="shared" si="15"/>
        <v>0.03</v>
      </c>
      <c r="S12" s="306">
        <f>IF(Q12&gt;'Test de compensation'!$H$130,0,'Calculs détaillés'!S11)</f>
        <v>23269.645784799744</v>
      </c>
      <c r="T12" s="316">
        <f t="shared" si="16"/>
        <v>13682.859822837123</v>
      </c>
      <c r="U12" s="306">
        <f t="shared" si="17"/>
        <v>9586.7859619626215</v>
      </c>
      <c r="V12" s="365">
        <f t="shared" si="18"/>
        <v>446508.54146594153</v>
      </c>
      <c r="W12" s="362">
        <f t="shared" si="4"/>
        <v>6</v>
      </c>
      <c r="X12" s="153">
        <f t="shared" si="19"/>
        <v>2.5000000000000001E-3</v>
      </c>
      <c r="Y12" s="306">
        <f>IF(W12&gt;'Test de compensation'!$H$131,0,'Calculs détaillés'!Y11)</f>
        <v>12830.719306487212</v>
      </c>
      <c r="Z12" s="316">
        <f t="shared" si="20"/>
        <v>471.66374168349125</v>
      </c>
      <c r="AA12" s="306">
        <f t="shared" si="5"/>
        <v>12359.055564803721</v>
      </c>
      <c r="AB12" s="365">
        <f t="shared" si="21"/>
        <v>176306.44110859279</v>
      </c>
      <c r="AC12" s="362">
        <f t="shared" si="6"/>
        <v>6</v>
      </c>
      <c r="AD12" s="366">
        <f t="shared" si="22"/>
        <v>0.04</v>
      </c>
      <c r="AE12" s="306">
        <f>IF(AC12&gt;'Test de compensation'!$H$132,0,'Calculs détaillés'!AE11)</f>
        <v>30822.736082534131</v>
      </c>
      <c r="AF12" s="316">
        <f t="shared" si="23"/>
        <v>5488.6937918097738</v>
      </c>
      <c r="AG12" s="306">
        <f t="shared" si="7"/>
        <v>25334.042290724356</v>
      </c>
      <c r="AH12" s="306">
        <f t="shared" si="24"/>
        <v>111883.30250451999</v>
      </c>
      <c r="AI12" s="367">
        <f t="shared" si="8"/>
        <v>171176.75870057091</v>
      </c>
      <c r="AJ12" s="368">
        <f>IF(A12&gt;'Test de compensation'!$D$142,0,AF12+Z12+N12+T12)</f>
        <v>55769.150798805509</v>
      </c>
      <c r="AK12" s="373">
        <v>0</v>
      </c>
      <c r="AL12" s="374">
        <v>0</v>
      </c>
      <c r="AM12" s="367" t="s">
        <v>4</v>
      </c>
      <c r="AN12" s="361" t="s">
        <v>4</v>
      </c>
      <c r="AO12" s="365">
        <v>0</v>
      </c>
      <c r="AP12" s="65">
        <v>0</v>
      </c>
      <c r="AQ12" s="367">
        <v>0</v>
      </c>
      <c r="AR12" s="367">
        <v>0</v>
      </c>
      <c r="AS12" s="371">
        <f t="shared" si="9"/>
        <v>0</v>
      </c>
      <c r="AT12" s="372">
        <f>IF(ROUND(AT11,0)&gt;0,AT11-PMT('Test de compensation'!$D$149,'Test de compensation'!$D$142,-'Test de compensation'!$D$124)+AU11,0)</f>
        <v>862323.86121868982</v>
      </c>
      <c r="AU12" s="372">
        <f>AT12*'Test de compensation'!$D$149</f>
        <v>30181.335142654149</v>
      </c>
      <c r="AV12" s="372" t="s">
        <v>4</v>
      </c>
      <c r="AW12" s="367" t="s">
        <v>4</v>
      </c>
      <c r="AX12" s="306" t="s">
        <v>4</v>
      </c>
    </row>
    <row r="13" spans="1:50" ht="12.75" customHeight="1" x14ac:dyDescent="0.25">
      <c r="A13" s="358">
        <v>7</v>
      </c>
      <c r="B13" s="359">
        <f t="shared" si="10"/>
        <v>0.02</v>
      </c>
      <c r="C13" s="360">
        <f>IF(A13&gt;'Test de compensation'!$D$142,0,C12+(C12*B12))</f>
        <v>4440.353911285416</v>
      </c>
      <c r="D13" s="306">
        <f>IF(A13&gt;'Test de compensation'!$D$87,0,'Calculs détaillés'!D12)</f>
        <v>89442.72</v>
      </c>
      <c r="E13" s="306">
        <f t="shared" si="11"/>
        <v>-2816.4922173385626</v>
      </c>
      <c r="F13" s="65">
        <v>0</v>
      </c>
      <c r="G13" s="65">
        <v>0</v>
      </c>
      <c r="H13" s="306">
        <f>IF(A13&gt;'Test de compensation'!$D$142,0,H12+H12*B12)</f>
        <v>1351.3949031167999</v>
      </c>
      <c r="I13" s="65">
        <v>0</v>
      </c>
      <c r="J13" s="361">
        <f t="shared" si="0"/>
        <v>92417.976597063665</v>
      </c>
      <c r="K13" s="362">
        <f t="shared" si="1"/>
        <v>7</v>
      </c>
      <c r="L13" s="366">
        <f t="shared" si="12"/>
        <v>2.1500000000000002E-2</v>
      </c>
      <c r="M13" s="306">
        <f>IF(A13&gt;'Test de compensation'!$H$129,0,'Calculs détaillés'!M12)</f>
        <v>104253.65752674981</v>
      </c>
      <c r="N13" s="316">
        <f t="shared" si="13"/>
        <v>34661.187374663212</v>
      </c>
      <c r="O13" s="306">
        <f t="shared" si="2"/>
        <v>69592.470152086607</v>
      </c>
      <c r="P13" s="365">
        <f t="shared" si="14"/>
        <v>1542555.7798322488</v>
      </c>
      <c r="Q13" s="362">
        <f t="shared" si="3"/>
        <v>7</v>
      </c>
      <c r="R13" s="153">
        <f t="shared" si="15"/>
        <v>0.03</v>
      </c>
      <c r="S13" s="306">
        <f>IF(Q13&gt;'Test de compensation'!$H$130,0,'Calculs détaillés'!S12)</f>
        <v>23269.645784799744</v>
      </c>
      <c r="T13" s="316">
        <f t="shared" si="16"/>
        <v>13395.256243978245</v>
      </c>
      <c r="U13" s="306">
        <f t="shared" si="17"/>
        <v>9874.3895408214994</v>
      </c>
      <c r="V13" s="365">
        <f t="shared" si="18"/>
        <v>436634.15192512004</v>
      </c>
      <c r="W13" s="362">
        <f t="shared" si="4"/>
        <v>7</v>
      </c>
      <c r="X13" s="153">
        <f t="shared" si="19"/>
        <v>2.5000000000000001E-3</v>
      </c>
      <c r="Y13" s="306">
        <f>IF(W13&gt;'Test de compensation'!$H$131,0,'Calculs détaillés'!Y12)</f>
        <v>12830.719306487212</v>
      </c>
      <c r="Z13" s="316">
        <f t="shared" si="20"/>
        <v>440.766102771482</v>
      </c>
      <c r="AA13" s="306">
        <f t="shared" si="5"/>
        <v>12389.95320371573</v>
      </c>
      <c r="AB13" s="365">
        <f t="shared" si="21"/>
        <v>163916.48790487705</v>
      </c>
      <c r="AC13" s="362">
        <f t="shared" si="6"/>
        <v>7</v>
      </c>
      <c r="AD13" s="366">
        <f t="shared" si="22"/>
        <v>0.04</v>
      </c>
      <c r="AE13" s="306">
        <f>IF(AC13&gt;'Test de compensation'!$H$132,0,'Calculs détaillés'!AE12)</f>
        <v>30822.736082534131</v>
      </c>
      <c r="AF13" s="316">
        <f t="shared" si="23"/>
        <v>4475.3321001807999</v>
      </c>
      <c r="AG13" s="306">
        <f t="shared" si="7"/>
        <v>26347.403982353331</v>
      </c>
      <c r="AH13" s="306">
        <f t="shared" si="24"/>
        <v>85535.898522166652</v>
      </c>
      <c r="AI13" s="367">
        <f t="shared" si="8"/>
        <v>171176.75870057091</v>
      </c>
      <c r="AJ13" s="368">
        <f>IF(A13&gt;'Test de compensation'!$D$142,0,AF13+Z13+N13+T13)</f>
        <v>52972.541821593739</v>
      </c>
      <c r="AK13" s="373">
        <v>0</v>
      </c>
      <c r="AL13" s="374">
        <v>0</v>
      </c>
      <c r="AM13" s="367" t="s">
        <v>4</v>
      </c>
      <c r="AN13" s="361" t="s">
        <v>4</v>
      </c>
      <c r="AO13" s="365">
        <v>0</v>
      </c>
      <c r="AP13" s="65">
        <v>0</v>
      </c>
      <c r="AQ13" s="367">
        <v>0</v>
      </c>
      <c r="AR13" s="367">
        <v>0</v>
      </c>
      <c r="AS13" s="371">
        <f t="shared" si="9"/>
        <v>0</v>
      </c>
      <c r="AT13" s="372">
        <f>IF(ROUND(AT12,0)&gt;0,AT12-PMT('Test de compensation'!$D$149,'Test de compensation'!$D$142,-'Test de compensation'!$D$124)+AU12,0)</f>
        <v>831831.16095030017</v>
      </c>
      <c r="AU13" s="372">
        <f>AT13*'Test de compensation'!$D$149</f>
        <v>29114.090633260508</v>
      </c>
      <c r="AV13" s="372" t="s">
        <v>4</v>
      </c>
      <c r="AW13" s="367" t="s">
        <v>4</v>
      </c>
      <c r="AX13" s="306" t="s">
        <v>4</v>
      </c>
    </row>
    <row r="14" spans="1:50" ht="12.75" customHeight="1" x14ac:dyDescent="0.25">
      <c r="A14" s="358">
        <v>8</v>
      </c>
      <c r="B14" s="359">
        <f t="shared" si="10"/>
        <v>0.02</v>
      </c>
      <c r="C14" s="360">
        <f>IF(A14&gt;'Test de compensation'!$D$142,0,C13+(C13*B13))</f>
        <v>4529.1609895111242</v>
      </c>
      <c r="D14" s="306">
        <f>IF(A14&gt;'Test de compensation'!$D$87,0,'Calculs détaillés'!D13)</f>
        <v>89442.72</v>
      </c>
      <c r="E14" s="306">
        <f t="shared" si="11"/>
        <v>-2819.1564296853335</v>
      </c>
      <c r="F14" s="65">
        <v>0</v>
      </c>
      <c r="G14" s="65">
        <v>0</v>
      </c>
      <c r="H14" s="306">
        <f>IF(A14&gt;'Test de compensation'!$D$142,0,H13+H13*B13)</f>
        <v>1378.4228011791358</v>
      </c>
      <c r="I14" s="65">
        <v>0</v>
      </c>
      <c r="J14" s="361">
        <f t="shared" si="0"/>
        <v>92531.147361004929</v>
      </c>
      <c r="K14" s="362">
        <f t="shared" si="1"/>
        <v>8</v>
      </c>
      <c r="L14" s="366">
        <f t="shared" si="12"/>
        <v>2.1500000000000002E-2</v>
      </c>
      <c r="M14" s="306">
        <f>IF(A14&gt;'Test de compensation'!$H$129,0,'Calculs détaillés'!M13)</f>
        <v>104253.65752674981</v>
      </c>
      <c r="N14" s="316">
        <f t="shared" si="13"/>
        <v>33164.949266393349</v>
      </c>
      <c r="O14" s="306">
        <f t="shared" si="2"/>
        <v>71088.708260356463</v>
      </c>
      <c r="P14" s="365">
        <f t="shared" si="14"/>
        <v>1471467.0715718924</v>
      </c>
      <c r="Q14" s="362">
        <f t="shared" si="3"/>
        <v>8</v>
      </c>
      <c r="R14" s="153">
        <f t="shared" si="15"/>
        <v>0.03</v>
      </c>
      <c r="S14" s="306">
        <f>IF(Q14&gt;'Test de compensation'!$H$130,0,'Calculs détaillés'!S13)</f>
        <v>23269.645784799744</v>
      </c>
      <c r="T14" s="316">
        <f t="shared" si="16"/>
        <v>13099.024557753601</v>
      </c>
      <c r="U14" s="306">
        <f t="shared" si="17"/>
        <v>10170.621227046144</v>
      </c>
      <c r="V14" s="365">
        <f t="shared" si="18"/>
        <v>426463.53069807391</v>
      </c>
      <c r="W14" s="362">
        <f t="shared" si="4"/>
        <v>8</v>
      </c>
      <c r="X14" s="153">
        <f t="shared" si="19"/>
        <v>2.5000000000000001E-3</v>
      </c>
      <c r="Y14" s="306">
        <f>IF(W14&gt;'Test de compensation'!$H$131,0,'Calculs détaillés'!Y13)</f>
        <v>12830.719306487212</v>
      </c>
      <c r="Z14" s="316">
        <f t="shared" si="20"/>
        <v>409.79121976219267</v>
      </c>
      <c r="AA14" s="306">
        <f t="shared" si="5"/>
        <v>12420.92808672502</v>
      </c>
      <c r="AB14" s="365">
        <f t="shared" si="21"/>
        <v>151495.55981815205</v>
      </c>
      <c r="AC14" s="362">
        <f t="shared" si="6"/>
        <v>8</v>
      </c>
      <c r="AD14" s="366">
        <f t="shared" si="22"/>
        <v>0.04</v>
      </c>
      <c r="AE14" s="306">
        <f>IF(AC14&gt;'Test de compensation'!$H$132,0,'Calculs détaillés'!AE13)</f>
        <v>30822.736082534131</v>
      </c>
      <c r="AF14" s="316">
        <f t="shared" si="23"/>
        <v>3421.4359408866662</v>
      </c>
      <c r="AG14" s="306">
        <f t="shared" si="7"/>
        <v>27401.300141647465</v>
      </c>
      <c r="AH14" s="306">
        <f t="shared" si="24"/>
        <v>58134.598380519186</v>
      </c>
      <c r="AI14" s="367">
        <f t="shared" si="8"/>
        <v>171176.75870057091</v>
      </c>
      <c r="AJ14" s="368">
        <f>IF(A14&gt;'Test de compensation'!$D$142,0,AF14+Z14+N14+T14)</f>
        <v>50095.200984795811</v>
      </c>
      <c r="AK14" s="373">
        <v>0</v>
      </c>
      <c r="AL14" s="374">
        <v>0</v>
      </c>
      <c r="AM14" s="367" t="s">
        <v>4</v>
      </c>
      <c r="AN14" s="361" t="s">
        <v>4</v>
      </c>
      <c r="AO14" s="365">
        <v>0</v>
      </c>
      <c r="AP14" s="65">
        <v>0</v>
      </c>
      <c r="AQ14" s="367">
        <v>0</v>
      </c>
      <c r="AR14" s="367">
        <v>0</v>
      </c>
      <c r="AS14" s="371">
        <f t="shared" si="9"/>
        <v>0</v>
      </c>
      <c r="AT14" s="372">
        <f>IF(ROUND(AT13,0)&gt;0,AT13-PMT('Test de compensation'!$D$149,'Test de compensation'!$D$142,-'Test de compensation'!$D$124)+AU13,0)</f>
        <v>800271.21617251693</v>
      </c>
      <c r="AU14" s="372">
        <f>AT14*'Test de compensation'!$D$149</f>
        <v>28009.492566038094</v>
      </c>
      <c r="AV14" s="372" t="s">
        <v>4</v>
      </c>
      <c r="AW14" s="367" t="s">
        <v>4</v>
      </c>
      <c r="AX14" s="306" t="s">
        <v>4</v>
      </c>
    </row>
    <row r="15" spans="1:50" ht="12.75" customHeight="1" x14ac:dyDescent="0.25">
      <c r="A15" s="358">
        <v>9</v>
      </c>
      <c r="B15" s="359">
        <f t="shared" si="10"/>
        <v>0.02</v>
      </c>
      <c r="C15" s="360">
        <f>IF(A15&gt;'Test de compensation'!$D$142,0,C14+(C14*B14))</f>
        <v>4619.7442093013469</v>
      </c>
      <c r="D15" s="306">
        <f>IF(A15&gt;'Test de compensation'!$D$87,0,'Calculs détaillés'!D14)</f>
        <v>89442.72</v>
      </c>
      <c r="E15" s="306">
        <f t="shared" si="11"/>
        <v>-2821.8739262790405</v>
      </c>
      <c r="F15" s="65">
        <v>0</v>
      </c>
      <c r="G15" s="65">
        <v>0</v>
      </c>
      <c r="H15" s="306">
        <f>IF(A15&gt;'Test de compensation'!$D$142,0,H14+H14*B14)</f>
        <v>1405.9912572027185</v>
      </c>
      <c r="I15" s="65">
        <v>0</v>
      </c>
      <c r="J15" s="361">
        <f t="shared" si="0"/>
        <v>92646.581540225045</v>
      </c>
      <c r="K15" s="362">
        <f t="shared" si="1"/>
        <v>9</v>
      </c>
      <c r="L15" s="366">
        <f t="shared" si="12"/>
        <v>2.1500000000000002E-2</v>
      </c>
      <c r="M15" s="306">
        <f>IF(A15&gt;'Test de compensation'!$H$129,0,'Calculs détaillés'!M14)</f>
        <v>104253.65752674981</v>
      </c>
      <c r="N15" s="316">
        <f t="shared" si="13"/>
        <v>31636.542038795687</v>
      </c>
      <c r="O15" s="306">
        <f t="shared" si="2"/>
        <v>72617.115487954128</v>
      </c>
      <c r="P15" s="365">
        <f t="shared" si="14"/>
        <v>1398849.9560839382</v>
      </c>
      <c r="Q15" s="362">
        <f t="shared" si="3"/>
        <v>9</v>
      </c>
      <c r="R15" s="153">
        <f t="shared" si="15"/>
        <v>0.03</v>
      </c>
      <c r="S15" s="306">
        <f>IF(Q15&gt;'Test de compensation'!$H$130,0,'Calculs détaillés'!S14)</f>
        <v>23269.645784799744</v>
      </c>
      <c r="T15" s="316">
        <f t="shared" si="16"/>
        <v>12793.905920942218</v>
      </c>
      <c r="U15" s="306">
        <f t="shared" si="17"/>
        <v>10475.739863857527</v>
      </c>
      <c r="V15" s="365">
        <f t="shared" si="18"/>
        <v>415987.7908342164</v>
      </c>
      <c r="W15" s="362">
        <f t="shared" si="4"/>
        <v>9</v>
      </c>
      <c r="X15" s="153">
        <f t="shared" si="19"/>
        <v>2.5000000000000001E-3</v>
      </c>
      <c r="Y15" s="306">
        <f>IF(W15&gt;'Test de compensation'!$H$131,0,'Calculs détaillés'!Y14)</f>
        <v>12830.719306487212</v>
      </c>
      <c r="Z15" s="316">
        <f t="shared" si="20"/>
        <v>378.73889954538015</v>
      </c>
      <c r="AA15" s="306">
        <f t="shared" si="5"/>
        <v>12451.980406941831</v>
      </c>
      <c r="AB15" s="365">
        <f t="shared" si="21"/>
        <v>139043.5794112102</v>
      </c>
      <c r="AC15" s="362">
        <f t="shared" si="6"/>
        <v>9</v>
      </c>
      <c r="AD15" s="366">
        <f t="shared" si="22"/>
        <v>0.04</v>
      </c>
      <c r="AE15" s="306">
        <f>IF(AC15&gt;'Test de compensation'!$H$132,0,'Calculs détaillés'!AE14)</f>
        <v>30822.736082534131</v>
      </c>
      <c r="AF15" s="316">
        <f t="shared" si="23"/>
        <v>2325.3839352207674</v>
      </c>
      <c r="AG15" s="306">
        <f t="shared" si="7"/>
        <v>28497.352147313362</v>
      </c>
      <c r="AH15" s="306">
        <f t="shared" si="24"/>
        <v>29637.246233205824</v>
      </c>
      <c r="AI15" s="367">
        <f t="shared" si="8"/>
        <v>171176.75870057091</v>
      </c>
      <c r="AJ15" s="368">
        <f>IF(A15&gt;'Test de compensation'!$D$142,0,AF15+Z15+N15+T15)</f>
        <v>47134.570794504056</v>
      </c>
      <c r="AK15" s="373">
        <v>0</v>
      </c>
      <c r="AL15" s="374">
        <v>0</v>
      </c>
      <c r="AM15" s="367" t="s">
        <v>4</v>
      </c>
      <c r="AN15" s="361" t="s">
        <v>4</v>
      </c>
      <c r="AO15" s="365">
        <v>0</v>
      </c>
      <c r="AP15" s="65">
        <v>0</v>
      </c>
      <c r="AQ15" s="367">
        <v>0</v>
      </c>
      <c r="AR15" s="367">
        <v>0</v>
      </c>
      <c r="AS15" s="371">
        <f t="shared" si="9"/>
        <v>0</v>
      </c>
      <c r="AT15" s="372">
        <f>IF(ROUND(AT14,0)&gt;0,AT14-PMT('Test de compensation'!$D$149,'Test de compensation'!$D$142,-'Test de compensation'!$D$124)+AU14,0)</f>
        <v>767606.67332751118</v>
      </c>
      <c r="AU15" s="372">
        <f>AT15*'Test de compensation'!$D$149</f>
        <v>26866.233566462895</v>
      </c>
      <c r="AV15" s="372" t="s">
        <v>4</v>
      </c>
      <c r="AW15" s="367" t="s">
        <v>4</v>
      </c>
      <c r="AX15" s="306" t="s">
        <v>4</v>
      </c>
    </row>
    <row r="16" spans="1:50" ht="12.75" customHeight="1" x14ac:dyDescent="0.25">
      <c r="A16" s="358">
        <v>10</v>
      </c>
      <c r="B16" s="359">
        <f t="shared" si="10"/>
        <v>0.02</v>
      </c>
      <c r="C16" s="360">
        <f>IF(A16&gt;'Test de compensation'!$D$142,0,C15+(C15*B15))</f>
        <v>4712.1390934873734</v>
      </c>
      <c r="D16" s="306">
        <f>IF(A16&gt;'Test de compensation'!$D$87,0,'Calculs détaillés'!D15)</f>
        <v>89442.72</v>
      </c>
      <c r="E16" s="306">
        <f t="shared" si="11"/>
        <v>-2824.6457728046212</v>
      </c>
      <c r="F16" s="65">
        <v>0</v>
      </c>
      <c r="G16" s="65">
        <v>0</v>
      </c>
      <c r="H16" s="306">
        <f>IF(A16&gt;'Test de compensation'!$D$142,0,H15+H15*B15)</f>
        <v>1434.1110823467729</v>
      </c>
      <c r="I16" s="65">
        <v>0</v>
      </c>
      <c r="J16" s="361">
        <f t="shared" si="0"/>
        <v>92764.324403029532</v>
      </c>
      <c r="K16" s="362">
        <f t="shared" si="1"/>
        <v>10</v>
      </c>
      <c r="L16" s="366">
        <f t="shared" si="12"/>
        <v>2.1500000000000002E-2</v>
      </c>
      <c r="M16" s="306">
        <f>IF(A16&gt;'Test de compensation'!$H$129,0,'Calculs détaillés'!M15)</f>
        <v>104253.65752674981</v>
      </c>
      <c r="N16" s="316">
        <f t="shared" si="13"/>
        <v>30075.274055804675</v>
      </c>
      <c r="O16" s="306">
        <f t="shared" si="2"/>
        <v>74178.383470945133</v>
      </c>
      <c r="P16" s="365">
        <f t="shared" si="14"/>
        <v>1324671.5726129932</v>
      </c>
      <c r="Q16" s="362">
        <f t="shared" si="3"/>
        <v>10</v>
      </c>
      <c r="R16" s="153">
        <f t="shared" si="15"/>
        <v>0.03</v>
      </c>
      <c r="S16" s="306">
        <f>IF(Q16&gt;'Test de compensation'!$H$130,0,'Calculs détaillés'!S15)</f>
        <v>23269.645784799744</v>
      </c>
      <c r="T16" s="316">
        <f t="shared" si="16"/>
        <v>12479.633725026491</v>
      </c>
      <c r="U16" s="306">
        <f t="shared" si="17"/>
        <v>10790.012059773253</v>
      </c>
      <c r="V16" s="365">
        <f t="shared" si="18"/>
        <v>405197.77877444314</v>
      </c>
      <c r="W16" s="362">
        <f t="shared" si="4"/>
        <v>10</v>
      </c>
      <c r="X16" s="153">
        <f t="shared" si="19"/>
        <v>2.5000000000000001E-3</v>
      </c>
      <c r="Y16" s="306">
        <f>IF(W16&gt;'Test de compensation'!$H$131,0,'Calculs détaillés'!Y15)</f>
        <v>12830.719306487212</v>
      </c>
      <c r="Z16" s="316">
        <f t="shared" si="20"/>
        <v>347.60894852802551</v>
      </c>
      <c r="AA16" s="306">
        <f t="shared" si="5"/>
        <v>12483.110357959185</v>
      </c>
      <c r="AB16" s="365">
        <f t="shared" si="21"/>
        <v>126560.46905325101</v>
      </c>
      <c r="AC16" s="362">
        <f t="shared" si="6"/>
        <v>10</v>
      </c>
      <c r="AD16" s="366">
        <f t="shared" si="22"/>
        <v>0.04</v>
      </c>
      <c r="AE16" s="306">
        <f>IF(AC16&gt;'Test de compensation'!$H$132,0,'Calculs détaillés'!AE15)</f>
        <v>30822.736082534131</v>
      </c>
      <c r="AF16" s="316">
        <f t="shared" si="23"/>
        <v>1185.489849328233</v>
      </c>
      <c r="AG16" s="306">
        <f t="shared" si="7"/>
        <v>29637.246233205897</v>
      </c>
      <c r="AH16" s="306">
        <f t="shared" si="24"/>
        <v>-7.2759576141834259E-11</v>
      </c>
      <c r="AI16" s="367">
        <f t="shared" si="8"/>
        <v>171176.75870057091</v>
      </c>
      <c r="AJ16" s="368">
        <f>IF(A16&gt;'Test de compensation'!$D$142,0,AF16+Z16+N16+T16)</f>
        <v>44088.006578687426</v>
      </c>
      <c r="AK16" s="373">
        <v>0</v>
      </c>
      <c r="AL16" s="374">
        <v>0</v>
      </c>
      <c r="AM16" s="367" t="s">
        <v>4</v>
      </c>
      <c r="AN16" s="361" t="s">
        <v>4</v>
      </c>
      <c r="AO16" s="365">
        <v>0</v>
      </c>
      <c r="AP16" s="65">
        <v>0</v>
      </c>
      <c r="AQ16" s="367">
        <v>0</v>
      </c>
      <c r="AR16" s="367">
        <v>0</v>
      </c>
      <c r="AS16" s="371">
        <f t="shared" si="9"/>
        <v>0</v>
      </c>
      <c r="AT16" s="372">
        <f>IF(ROUND(AT15,0)&gt;0,AT15-PMT('Test de compensation'!$D$149,'Test de compensation'!$D$142,-'Test de compensation'!$D$124)+AU15,0)</f>
        <v>733798.87148293026</v>
      </c>
      <c r="AU16" s="372">
        <f>AT16*'Test de compensation'!$D$149</f>
        <v>25682.960501902562</v>
      </c>
      <c r="AV16" s="372" t="s">
        <v>4</v>
      </c>
      <c r="AW16" s="367" t="s">
        <v>4</v>
      </c>
      <c r="AX16" s="306"/>
    </row>
    <row r="17" spans="1:50" ht="12.75" customHeight="1" x14ac:dyDescent="0.25">
      <c r="A17" s="358">
        <v>11</v>
      </c>
      <c r="B17" s="359">
        <f t="shared" si="10"/>
        <v>0.02</v>
      </c>
      <c r="C17" s="360">
        <f>IF(A17&gt;'Test de compensation'!$D$142,0,C16+(C16*B16))</f>
        <v>4806.3818753571213</v>
      </c>
      <c r="D17" s="306">
        <f>IF(A17&gt;'Test de compensation'!$D$87,0,'Calculs détaillés'!D16)</f>
        <v>89442.72</v>
      </c>
      <c r="E17" s="306">
        <f t="shared" si="11"/>
        <v>-2827.4730562607137</v>
      </c>
      <c r="F17" s="65">
        <v>0</v>
      </c>
      <c r="G17" s="65">
        <v>0</v>
      </c>
      <c r="H17" s="306">
        <f>IF(A17&gt;'Test de compensation'!$D$142,0,H16+H16*B16)</f>
        <v>1462.7933039937084</v>
      </c>
      <c r="I17" s="65">
        <v>0</v>
      </c>
      <c r="J17" s="361">
        <f t="shared" si="0"/>
        <v>92884.422123090117</v>
      </c>
      <c r="K17" s="362">
        <f t="shared" si="1"/>
        <v>11</v>
      </c>
      <c r="L17" s="366">
        <f t="shared" si="12"/>
        <v>2.1500000000000002E-2</v>
      </c>
      <c r="M17" s="306">
        <f>IF(A17&gt;'Test de compensation'!$H$129,0,'Calculs détaillés'!M16)</f>
        <v>104253.65752674981</v>
      </c>
      <c r="N17" s="316">
        <f t="shared" si="13"/>
        <v>28480.438811179356</v>
      </c>
      <c r="O17" s="306">
        <f t="shared" si="2"/>
        <v>75773.21871557046</v>
      </c>
      <c r="P17" s="365">
        <f t="shared" si="14"/>
        <v>1248898.3538974228</v>
      </c>
      <c r="Q17" s="362">
        <f t="shared" si="3"/>
        <v>11</v>
      </c>
      <c r="R17" s="153">
        <f t="shared" si="15"/>
        <v>0.03</v>
      </c>
      <c r="S17" s="306">
        <f>IF(Q17&gt;'Test de compensation'!$H$130,0,'Calculs détaillés'!S16)</f>
        <v>23269.645784799744</v>
      </c>
      <c r="T17" s="316">
        <f t="shared" si="16"/>
        <v>12155.933363233295</v>
      </c>
      <c r="U17" s="306">
        <f t="shared" si="17"/>
        <v>11113.71242156645</v>
      </c>
      <c r="V17" s="365">
        <f t="shared" si="18"/>
        <v>394084.06635287672</v>
      </c>
      <c r="W17" s="362">
        <f t="shared" si="4"/>
        <v>11</v>
      </c>
      <c r="X17" s="153">
        <f t="shared" si="19"/>
        <v>2.5000000000000001E-3</v>
      </c>
      <c r="Y17" s="306">
        <f>IF(W17&gt;'Test de compensation'!$H$131,0,'Calculs détaillés'!Y16)</f>
        <v>12830.719306487212</v>
      </c>
      <c r="Z17" s="316">
        <f t="shared" si="20"/>
        <v>316.40117263312754</v>
      </c>
      <c r="AA17" s="306">
        <f t="shared" si="5"/>
        <v>12514.318133854083</v>
      </c>
      <c r="AB17" s="365">
        <f t="shared" si="21"/>
        <v>114046.15091939693</v>
      </c>
      <c r="AC17" s="362">
        <f t="shared" si="6"/>
        <v>11</v>
      </c>
      <c r="AD17" s="366">
        <f t="shared" si="22"/>
        <v>0.04</v>
      </c>
      <c r="AE17" s="306">
        <f>IF(AC17&gt;'Test de compensation'!$H$132,0,'Calculs détaillés'!AE16)</f>
        <v>0</v>
      </c>
      <c r="AF17" s="316">
        <f t="shared" si="23"/>
        <v>-2.9103830456733705E-12</v>
      </c>
      <c r="AG17" s="306">
        <f t="shared" si="7"/>
        <v>2.9103830456733705E-12</v>
      </c>
      <c r="AH17" s="306">
        <f t="shared" si="24"/>
        <v>-7.5669959187507632E-11</v>
      </c>
      <c r="AI17" s="367">
        <f t="shared" si="8"/>
        <v>140354.02261803678</v>
      </c>
      <c r="AJ17" s="368">
        <f>IF(A17&gt;'Test de compensation'!$D$142,0,AF17+Z17+N17+T17)</f>
        <v>40952.773347045775</v>
      </c>
      <c r="AK17" s="373">
        <v>0</v>
      </c>
      <c r="AL17" s="374">
        <v>0</v>
      </c>
      <c r="AM17" s="367" t="s">
        <v>4</v>
      </c>
      <c r="AN17" s="361" t="s">
        <v>313</v>
      </c>
      <c r="AO17" s="365">
        <v>0</v>
      </c>
      <c r="AP17" s="65">
        <v>0</v>
      </c>
      <c r="AQ17" s="367">
        <v>0</v>
      </c>
      <c r="AR17" s="367">
        <v>0</v>
      </c>
      <c r="AS17" s="371">
        <f t="shared" si="9"/>
        <v>0</v>
      </c>
      <c r="AT17" s="372">
        <f>IF(ROUND(AT16,0)&gt;0,AT16-PMT('Test de compensation'!$D$149,'Test de compensation'!$D$142,-'Test de compensation'!$D$124)+AU16,0)</f>
        <v>698807.79657378909</v>
      </c>
      <c r="AU17" s="372">
        <f>AT17*'Test de compensation'!$D$149</f>
        <v>24458.272880082619</v>
      </c>
      <c r="AV17" s="372" t="s">
        <v>4</v>
      </c>
      <c r="AW17" s="367" t="s">
        <v>4</v>
      </c>
      <c r="AX17" s="306"/>
    </row>
    <row r="18" spans="1:50" ht="12.75" customHeight="1" x14ac:dyDescent="0.25">
      <c r="A18" s="358">
        <v>12</v>
      </c>
      <c r="B18" s="359">
        <f t="shared" si="10"/>
        <v>0.02</v>
      </c>
      <c r="C18" s="360">
        <f>IF(A18&gt;'Test de compensation'!$D$142,0,C17+(C17*B17))</f>
        <v>4902.5095128642633</v>
      </c>
      <c r="D18" s="306">
        <f>IF(A18&gt;'Test de compensation'!$D$87,0,'Calculs détaillés'!D17)</f>
        <v>89442.72</v>
      </c>
      <c r="E18" s="306">
        <f t="shared" si="11"/>
        <v>-2830.3568853859279</v>
      </c>
      <c r="F18" s="65">
        <v>0</v>
      </c>
      <c r="G18" s="65">
        <v>0</v>
      </c>
      <c r="H18" s="306">
        <f>IF(A18&gt;'Test de compensation'!$D$142,0,H17+H17*B17)</f>
        <v>1492.0491700735824</v>
      </c>
      <c r="I18" s="65">
        <v>0</v>
      </c>
      <c r="J18" s="361">
        <f t="shared" si="0"/>
        <v>93006.921797551913</v>
      </c>
      <c r="K18" s="362">
        <f t="shared" si="1"/>
        <v>12</v>
      </c>
      <c r="L18" s="366">
        <f t="shared" si="12"/>
        <v>2.1500000000000002E-2</v>
      </c>
      <c r="M18" s="306">
        <f>IF(A18&gt;'Test de compensation'!$H$129,0,'Calculs détaillés'!M17)</f>
        <v>104253.65752674981</v>
      </c>
      <c r="N18" s="316">
        <f t="shared" si="13"/>
        <v>26851.314608794593</v>
      </c>
      <c r="O18" s="306">
        <f t="shared" si="2"/>
        <v>77402.342917955219</v>
      </c>
      <c r="P18" s="365">
        <f t="shared" si="14"/>
        <v>1171496.0109794675</v>
      </c>
      <c r="Q18" s="362">
        <f t="shared" si="3"/>
        <v>12</v>
      </c>
      <c r="R18" s="153">
        <f t="shared" si="15"/>
        <v>0.03</v>
      </c>
      <c r="S18" s="306">
        <f>IF(Q18&gt;'Test de compensation'!$H$130,0,'Calculs détaillés'!S17)</f>
        <v>23269.645784799744</v>
      </c>
      <c r="T18" s="316">
        <f t="shared" si="16"/>
        <v>11822.521990586301</v>
      </c>
      <c r="U18" s="306">
        <f t="shared" si="17"/>
        <v>11447.123794213443</v>
      </c>
      <c r="V18" s="365">
        <f t="shared" si="18"/>
        <v>382636.94255866326</v>
      </c>
      <c r="W18" s="362">
        <f t="shared" si="4"/>
        <v>12</v>
      </c>
      <c r="X18" s="153">
        <f t="shared" si="19"/>
        <v>2.5000000000000001E-3</v>
      </c>
      <c r="Y18" s="306">
        <f>IF(W18&gt;'Test de compensation'!$H$131,0,'Calculs détaillés'!Y17)</f>
        <v>12830.719306487212</v>
      </c>
      <c r="Z18" s="316">
        <f t="shared" si="20"/>
        <v>285.11537729849232</v>
      </c>
      <c r="AA18" s="306">
        <f t="shared" si="5"/>
        <v>12545.603929188719</v>
      </c>
      <c r="AB18" s="365">
        <f t="shared" si="21"/>
        <v>101500.54699020821</v>
      </c>
      <c r="AC18" s="362">
        <f t="shared" si="6"/>
        <v>12</v>
      </c>
      <c r="AD18" s="366">
        <f t="shared" si="22"/>
        <v>0.04</v>
      </c>
      <c r="AE18" s="306">
        <f>IF(AC18&gt;'Test de compensation'!$H$132,0,'Calculs détaillés'!AE17)</f>
        <v>0</v>
      </c>
      <c r="AF18" s="316">
        <f t="shared" si="23"/>
        <v>-3.0267983675003054E-12</v>
      </c>
      <c r="AG18" s="306">
        <f t="shared" si="7"/>
        <v>3.0267983675003054E-12</v>
      </c>
      <c r="AH18" s="306">
        <f t="shared" si="24"/>
        <v>-7.869675755500794E-11</v>
      </c>
      <c r="AI18" s="367">
        <f t="shared" si="8"/>
        <v>140354.02261803678</v>
      </c>
      <c r="AJ18" s="368">
        <f>IF(A18&gt;'Test de compensation'!$D$142,0,AF18+Z18+N18+T18)</f>
        <v>38958.951976679382</v>
      </c>
      <c r="AK18" s="373">
        <v>0</v>
      </c>
      <c r="AL18" s="374">
        <v>0</v>
      </c>
      <c r="AM18" s="367" t="s">
        <v>4</v>
      </c>
      <c r="AN18" s="361" t="s">
        <v>4</v>
      </c>
      <c r="AO18" s="365">
        <v>0</v>
      </c>
      <c r="AP18" s="65">
        <v>0</v>
      </c>
      <c r="AQ18" s="367">
        <v>0</v>
      </c>
      <c r="AR18" s="367">
        <v>0</v>
      </c>
      <c r="AS18" s="371">
        <f t="shared" si="9"/>
        <v>0</v>
      </c>
      <c r="AT18" s="372">
        <f>IF(ROUND(AT17,0)&gt;0,AT17-PMT('Test de compensation'!$D$149,'Test de compensation'!$D$142,-'Test de compensation'!$D$124)+AU17,0)</f>
        <v>662592.0340428279</v>
      </c>
      <c r="AU18" s="372">
        <f>AT18*'Test de compensation'!$D$149</f>
        <v>23190.721191498978</v>
      </c>
      <c r="AV18" s="372" t="s">
        <v>4</v>
      </c>
      <c r="AW18" s="367" t="s">
        <v>4</v>
      </c>
      <c r="AX18" s="306"/>
    </row>
    <row r="19" spans="1:50" ht="12.75" customHeight="1" x14ac:dyDescent="0.25">
      <c r="A19" s="358">
        <v>13</v>
      </c>
      <c r="B19" s="359">
        <f t="shared" si="10"/>
        <v>0.02</v>
      </c>
      <c r="C19" s="360">
        <f>IF(A19&gt;'Test de compensation'!$D$142,0,C18+(C18*B18))</f>
        <v>5000.5597031215484</v>
      </c>
      <c r="D19" s="306">
        <f>IF(A19&gt;'Test de compensation'!$D$87,0,'Calculs détaillés'!D18)</f>
        <v>89442.72</v>
      </c>
      <c r="E19" s="306">
        <f t="shared" si="11"/>
        <v>-2833.2983910936464</v>
      </c>
      <c r="F19" s="65">
        <v>0</v>
      </c>
      <c r="G19" s="65">
        <v>0</v>
      </c>
      <c r="H19" s="306">
        <f>IF(A19&gt;'Test de compensation'!$D$142,0,H18+H18*B18)</f>
        <v>1521.8901534750541</v>
      </c>
      <c r="I19" s="65">
        <v>0</v>
      </c>
      <c r="J19" s="361">
        <f t="shared" si="0"/>
        <v>93131.871465502947</v>
      </c>
      <c r="K19" s="362">
        <f t="shared" si="1"/>
        <v>13</v>
      </c>
      <c r="L19" s="366">
        <f t="shared" si="12"/>
        <v>2.1500000000000002E-2</v>
      </c>
      <c r="M19" s="306">
        <f>IF(A19&gt;'Test de compensation'!$H$129,0,'Calculs détaillés'!M18)</f>
        <v>104253.65752674981</v>
      </c>
      <c r="N19" s="316">
        <f t="shared" si="13"/>
        <v>25187.164236058554</v>
      </c>
      <c r="O19" s="306">
        <f t="shared" si="2"/>
        <v>79066.493290691258</v>
      </c>
      <c r="P19" s="365">
        <f t="shared" si="14"/>
        <v>1092429.5176887764</v>
      </c>
      <c r="Q19" s="362">
        <f t="shared" si="3"/>
        <v>13</v>
      </c>
      <c r="R19" s="153">
        <f t="shared" si="15"/>
        <v>0.03</v>
      </c>
      <c r="S19" s="306">
        <f>IF(Q19&gt;'Test de compensation'!$H$130,0,'Calculs détaillés'!S18)</f>
        <v>23269.645784799744</v>
      </c>
      <c r="T19" s="316">
        <f t="shared" si="16"/>
        <v>11479.108276759896</v>
      </c>
      <c r="U19" s="306">
        <f t="shared" si="17"/>
        <v>11790.537508039848</v>
      </c>
      <c r="V19" s="365">
        <f t="shared" si="18"/>
        <v>370846.40505062341</v>
      </c>
      <c r="W19" s="362">
        <f t="shared" si="4"/>
        <v>13</v>
      </c>
      <c r="X19" s="153">
        <f t="shared" si="19"/>
        <v>2.5000000000000001E-3</v>
      </c>
      <c r="Y19" s="306">
        <f>IF(W19&gt;'Test de compensation'!$H$131,0,'Calculs détaillés'!Y18)</f>
        <v>12830.719306487212</v>
      </c>
      <c r="Z19" s="316">
        <f t="shared" si="20"/>
        <v>253.75136747552054</v>
      </c>
      <c r="AA19" s="306">
        <f t="shared" si="5"/>
        <v>12576.967939011691</v>
      </c>
      <c r="AB19" s="365">
        <f t="shared" si="21"/>
        <v>88923.579051196517</v>
      </c>
      <c r="AC19" s="362">
        <f t="shared" si="6"/>
        <v>13</v>
      </c>
      <c r="AD19" s="366">
        <f t="shared" si="22"/>
        <v>0.04</v>
      </c>
      <c r="AE19" s="306">
        <f>IF(AC19&gt;'Test de compensation'!$H$132,0,'Calculs détaillés'!AE18)</f>
        <v>0</v>
      </c>
      <c r="AF19" s="316">
        <f t="shared" si="23"/>
        <v>-3.1478703022003176E-12</v>
      </c>
      <c r="AG19" s="306">
        <f t="shared" si="7"/>
        <v>3.1478703022003176E-12</v>
      </c>
      <c r="AH19" s="306">
        <f t="shared" si="24"/>
        <v>-8.1844627857208252E-11</v>
      </c>
      <c r="AI19" s="367">
        <f t="shared" si="8"/>
        <v>140354.02261803678</v>
      </c>
      <c r="AJ19" s="368">
        <f>IF(A19&gt;'Test de compensation'!$D$142,0,AF19+Z19+N19+T19)</f>
        <v>36920.023880293971</v>
      </c>
      <c r="AK19" s="373">
        <v>0</v>
      </c>
      <c r="AL19" s="374">
        <v>0</v>
      </c>
      <c r="AM19" s="367" t="s">
        <v>4</v>
      </c>
      <c r="AN19" s="361" t="s">
        <v>4</v>
      </c>
      <c r="AO19" s="365">
        <v>0</v>
      </c>
      <c r="AP19" s="65">
        <v>0</v>
      </c>
      <c r="AQ19" s="367">
        <v>0</v>
      </c>
      <c r="AR19" s="367">
        <v>0</v>
      </c>
      <c r="AS19" s="371">
        <f t="shared" si="9"/>
        <v>0</v>
      </c>
      <c r="AT19" s="372">
        <f>IF(ROUND(AT18,0)&gt;0,AT18-PMT('Test de compensation'!$D$149,'Test de compensation'!$D$142,-'Test de compensation'!$D$124)+AU18,0)</f>
        <v>625108.71982328314</v>
      </c>
      <c r="AU19" s="372">
        <f>AT19*'Test de compensation'!$D$149</f>
        <v>21878.805193814911</v>
      </c>
      <c r="AV19" s="372" t="s">
        <v>313</v>
      </c>
      <c r="AW19" s="367" t="s">
        <v>4</v>
      </c>
      <c r="AX19" s="306"/>
    </row>
    <row r="20" spans="1:50" ht="12.75" customHeight="1" x14ac:dyDescent="0.25">
      <c r="A20" s="358">
        <v>14</v>
      </c>
      <c r="B20" s="359">
        <f t="shared" si="10"/>
        <v>0.02</v>
      </c>
      <c r="C20" s="360">
        <f>IF(A20&gt;'Test de compensation'!$D$142,0,C19+(C19*B19))</f>
        <v>5100.5708971839795</v>
      </c>
      <c r="D20" s="306">
        <f>IF(A20&gt;'Test de compensation'!$D$87,0,'Calculs détaillés'!D19)</f>
        <v>89442.72</v>
      </c>
      <c r="E20" s="306">
        <f t="shared" si="11"/>
        <v>-2836.2987269155192</v>
      </c>
      <c r="F20" s="65">
        <v>0</v>
      </c>
      <c r="G20" s="65">
        <v>0</v>
      </c>
      <c r="H20" s="306">
        <f>IF(A20&gt;'Test de compensation'!$D$142,0,H19+H19*B19)</f>
        <v>1552.3279565445553</v>
      </c>
      <c r="I20" s="65">
        <v>0</v>
      </c>
      <c r="J20" s="361">
        <f t="shared" si="0"/>
        <v>93259.320126813021</v>
      </c>
      <c r="K20" s="362">
        <f t="shared" si="1"/>
        <v>14</v>
      </c>
      <c r="L20" s="366">
        <f t="shared" si="12"/>
        <v>2.1500000000000002E-2</v>
      </c>
      <c r="M20" s="306">
        <f>IF(A20&gt;'Test de compensation'!$H$129,0,'Calculs détaillés'!M19)</f>
        <v>104253.65752674981</v>
      </c>
      <c r="N20" s="316">
        <f t="shared" si="13"/>
        <v>23487.234630308692</v>
      </c>
      <c r="O20" s="306">
        <f t="shared" si="2"/>
        <v>80766.422896441116</v>
      </c>
      <c r="P20" s="365">
        <f t="shared" si="14"/>
        <v>1011663.0947923353</v>
      </c>
      <c r="Q20" s="362">
        <f t="shared" si="3"/>
        <v>14</v>
      </c>
      <c r="R20" s="153">
        <f t="shared" si="15"/>
        <v>0.03</v>
      </c>
      <c r="S20" s="306">
        <f>IF(Q20&gt;'Test de compensation'!$H$130,0,'Calculs détaillés'!S19)</f>
        <v>23269.645784799744</v>
      </c>
      <c r="T20" s="316">
        <f t="shared" si="16"/>
        <v>11125.392151518701</v>
      </c>
      <c r="U20" s="306">
        <f t="shared" si="17"/>
        <v>12144.253633281043</v>
      </c>
      <c r="V20" s="365">
        <f t="shared" si="18"/>
        <v>358702.15141734236</v>
      </c>
      <c r="W20" s="362">
        <f t="shared" si="4"/>
        <v>14</v>
      </c>
      <c r="X20" s="153">
        <f t="shared" si="19"/>
        <v>2.5000000000000001E-3</v>
      </c>
      <c r="Y20" s="306">
        <f>IF(W20&gt;'Test de compensation'!$H$131,0,'Calculs détaillés'!Y19)</f>
        <v>12830.719306487212</v>
      </c>
      <c r="Z20" s="316">
        <f t="shared" si="20"/>
        <v>222.3089476279913</v>
      </c>
      <c r="AA20" s="306">
        <f t="shared" si="5"/>
        <v>12608.410358859221</v>
      </c>
      <c r="AB20" s="365">
        <f t="shared" si="21"/>
        <v>76315.168692337291</v>
      </c>
      <c r="AC20" s="362">
        <f t="shared" si="6"/>
        <v>14</v>
      </c>
      <c r="AD20" s="366">
        <f t="shared" si="22"/>
        <v>0.04</v>
      </c>
      <c r="AE20" s="306">
        <f>IF(AC20&gt;'Test de compensation'!$H$132,0,'Calculs détaillés'!AE19)</f>
        <v>0</v>
      </c>
      <c r="AF20" s="316">
        <f t="shared" si="23"/>
        <v>-3.2737851142883301E-12</v>
      </c>
      <c r="AG20" s="306">
        <f t="shared" si="7"/>
        <v>3.2737851142883301E-12</v>
      </c>
      <c r="AH20" s="306">
        <f t="shared" si="24"/>
        <v>-8.5118412971496578E-11</v>
      </c>
      <c r="AI20" s="367">
        <f t="shared" si="8"/>
        <v>140354.02261803678</v>
      </c>
      <c r="AJ20" s="368">
        <f>IF(A20&gt;'Test de compensation'!$D$142,0,AF20+Z20+N20+T20)</f>
        <v>34834.935729455385</v>
      </c>
      <c r="AK20" s="373">
        <v>0</v>
      </c>
      <c r="AL20" s="374">
        <v>0</v>
      </c>
      <c r="AM20" s="367" t="s">
        <v>4</v>
      </c>
      <c r="AN20" s="361" t="s">
        <v>4</v>
      </c>
      <c r="AO20" s="365">
        <v>0</v>
      </c>
      <c r="AP20" s="65">
        <v>0</v>
      </c>
      <c r="AQ20" s="367">
        <v>0</v>
      </c>
      <c r="AR20" s="367">
        <v>0</v>
      </c>
      <c r="AS20" s="371">
        <f t="shared" si="9"/>
        <v>0</v>
      </c>
      <c r="AT20" s="372">
        <f>IF(ROUND(AT19,0)&gt;0,AT19-PMT('Test de compensation'!$D$149,'Test de compensation'!$D$142,-'Test de compensation'!$D$124)+AU19,0)</f>
        <v>586313.48960605427</v>
      </c>
      <c r="AU20" s="372">
        <f>AT20*'Test de compensation'!$D$149</f>
        <v>20520.972136211902</v>
      </c>
      <c r="AV20" s="372" t="s">
        <v>4</v>
      </c>
      <c r="AW20" s="367" t="s">
        <v>4</v>
      </c>
      <c r="AX20" s="306"/>
    </row>
    <row r="21" spans="1:50" ht="12.75" customHeight="1" x14ac:dyDescent="0.25">
      <c r="A21" s="358">
        <v>15</v>
      </c>
      <c r="B21" s="359">
        <f t="shared" si="10"/>
        <v>0.02</v>
      </c>
      <c r="C21" s="360">
        <f>IF(A21&gt;'Test de compensation'!$D$142,0,C20+(C20*B20))</f>
        <v>5202.5823151276591</v>
      </c>
      <c r="D21" s="306">
        <f>IF(A21&gt;'Test de compensation'!$D$87,0,'Calculs détaillés'!D20)</f>
        <v>89442.72</v>
      </c>
      <c r="E21" s="306">
        <f t="shared" si="11"/>
        <v>-2839.3590694538298</v>
      </c>
      <c r="F21" s="65">
        <v>0</v>
      </c>
      <c r="G21" s="65">
        <v>0</v>
      </c>
      <c r="H21" s="306">
        <f>IF(A21&gt;'Test de compensation'!$D$142,0,H20+H20*B20)</f>
        <v>1583.3745156754464</v>
      </c>
      <c r="I21" s="65">
        <v>0</v>
      </c>
      <c r="J21" s="361">
        <f t="shared" si="0"/>
        <v>93389.317761349273</v>
      </c>
      <c r="K21" s="362">
        <f t="shared" si="1"/>
        <v>15</v>
      </c>
      <c r="L21" s="366">
        <f t="shared" si="12"/>
        <v>2.1500000000000002E-2</v>
      </c>
      <c r="M21" s="306">
        <f>IF(A21&gt;'Test de compensation'!$H$129,0,'Calculs détaillés'!M20)</f>
        <v>104253.65752674981</v>
      </c>
      <c r="N21" s="316">
        <f t="shared" si="13"/>
        <v>21750.75653803521</v>
      </c>
      <c r="O21" s="306">
        <f t="shared" si="2"/>
        <v>82502.900988714595</v>
      </c>
      <c r="P21" s="365">
        <f t="shared" si="14"/>
        <v>929160.19380362076</v>
      </c>
      <c r="Q21" s="362">
        <f t="shared" si="3"/>
        <v>15</v>
      </c>
      <c r="R21" s="153">
        <f t="shared" si="15"/>
        <v>0.03</v>
      </c>
      <c r="S21" s="306">
        <f>IF(Q21&gt;'Test de compensation'!$H$130,0,'Calculs détaillés'!S20)</f>
        <v>23269.645784799744</v>
      </c>
      <c r="T21" s="316">
        <f t="shared" si="16"/>
        <v>10761.064542520271</v>
      </c>
      <c r="U21" s="306">
        <f t="shared" si="17"/>
        <v>12508.581242279473</v>
      </c>
      <c r="V21" s="365">
        <f t="shared" si="18"/>
        <v>346193.57017506287</v>
      </c>
      <c r="W21" s="362">
        <f t="shared" si="4"/>
        <v>15</v>
      </c>
      <c r="X21" s="153">
        <f t="shared" si="19"/>
        <v>2.5000000000000001E-3</v>
      </c>
      <c r="Y21" s="306">
        <f>IF(W21&gt;'Test de compensation'!$H$131,0,'Calculs détaillés'!Y20)</f>
        <v>12830.719306487212</v>
      </c>
      <c r="Z21" s="316">
        <f t="shared" si="20"/>
        <v>190.78792173084324</v>
      </c>
      <c r="AA21" s="306">
        <f t="shared" si="5"/>
        <v>12639.931384756368</v>
      </c>
      <c r="AB21" s="365">
        <f t="shared" si="21"/>
        <v>63675.237307580923</v>
      </c>
      <c r="AC21" s="362">
        <f t="shared" si="6"/>
        <v>15</v>
      </c>
      <c r="AD21" s="366">
        <f t="shared" si="22"/>
        <v>0.04</v>
      </c>
      <c r="AE21" s="306">
        <f>IF(AC21&gt;'Test de compensation'!$H$132,0,'Calculs détaillés'!AE20)</f>
        <v>0</v>
      </c>
      <c r="AF21" s="316">
        <f t="shared" si="23"/>
        <v>-3.4047365188598633E-12</v>
      </c>
      <c r="AG21" s="306">
        <f t="shared" si="7"/>
        <v>3.4047365188598633E-12</v>
      </c>
      <c r="AH21" s="306">
        <f t="shared" si="24"/>
        <v>-8.8523149490356438E-11</v>
      </c>
      <c r="AI21" s="367">
        <f t="shared" si="8"/>
        <v>140354.02261803678</v>
      </c>
      <c r="AJ21" s="368">
        <f>IF(A21&gt;'Test de compensation'!$D$142,0,AF21+Z21+N21+T21)</f>
        <v>32702.609002286321</v>
      </c>
      <c r="AK21" s="373">
        <v>0</v>
      </c>
      <c r="AL21" s="374">
        <v>0</v>
      </c>
      <c r="AM21" s="367" t="s">
        <v>4</v>
      </c>
      <c r="AN21" s="361" t="s">
        <v>4</v>
      </c>
      <c r="AO21" s="365">
        <v>0</v>
      </c>
      <c r="AP21" s="65">
        <v>0</v>
      </c>
      <c r="AQ21" s="367">
        <v>0</v>
      </c>
      <c r="AR21" s="367">
        <v>0</v>
      </c>
      <c r="AS21" s="371">
        <f t="shared" si="9"/>
        <v>0</v>
      </c>
      <c r="AT21" s="372">
        <f>IF(ROUND(AT20,0)&gt;0,AT20-PMT('Test de compensation'!$D$149,'Test de compensation'!$D$142,-'Test de compensation'!$D$124)+AU20,0)</f>
        <v>546160.42633122241</v>
      </c>
      <c r="AU21" s="372">
        <f>AT21*'Test de compensation'!$D$149</f>
        <v>19115.614921592787</v>
      </c>
      <c r="AV21" s="372" t="s">
        <v>4</v>
      </c>
      <c r="AW21" s="367" t="s">
        <v>4</v>
      </c>
      <c r="AX21" s="306"/>
    </row>
    <row r="22" spans="1:50" ht="12.75" customHeight="1" x14ac:dyDescent="0.25">
      <c r="A22" s="358">
        <v>16</v>
      </c>
      <c r="B22" s="359">
        <f t="shared" si="10"/>
        <v>0.02</v>
      </c>
      <c r="C22" s="360">
        <f>IF(A22&gt;'Test de compensation'!$D$142,0,C21+(C21*B21))</f>
        <v>5306.6339614302124</v>
      </c>
      <c r="D22" s="306">
        <f>IF(A22&gt;'Test de compensation'!$D$87,0,'Calculs détaillés'!D21)</f>
        <v>0</v>
      </c>
      <c r="E22" s="306">
        <f t="shared" si="11"/>
        <v>-159.19901884290636</v>
      </c>
      <c r="F22" s="65">
        <v>0</v>
      </c>
      <c r="G22" s="65">
        <v>0</v>
      </c>
      <c r="H22" s="306">
        <f>IF(A22&gt;'Test de compensation'!$D$142,0,H21+H21*B21)</f>
        <v>1615.0420059889555</v>
      </c>
      <c r="I22" s="65">
        <v>0</v>
      </c>
      <c r="J22" s="361">
        <f t="shared" si="0"/>
        <v>6762.4769485762617</v>
      </c>
      <c r="K22" s="362">
        <f t="shared" si="1"/>
        <v>16</v>
      </c>
      <c r="L22" s="366">
        <f t="shared" si="12"/>
        <v>2.1500000000000002E-2</v>
      </c>
      <c r="M22" s="306">
        <f>IF(A22&gt;'Test de compensation'!$H$129,0,'Calculs détaillés'!M21)</f>
        <v>104253.65752674981</v>
      </c>
      <c r="N22" s="316">
        <f t="shared" si="13"/>
        <v>19976.944166777848</v>
      </c>
      <c r="O22" s="306">
        <f t="shared" si="2"/>
        <v>84276.713359971967</v>
      </c>
      <c r="P22" s="365">
        <f t="shared" si="14"/>
        <v>844883.48044364876</v>
      </c>
      <c r="Q22" s="362">
        <f t="shared" si="3"/>
        <v>16</v>
      </c>
      <c r="R22" s="153">
        <f t="shared" si="15"/>
        <v>0.03</v>
      </c>
      <c r="S22" s="306">
        <f>IF(Q22&gt;'Test de compensation'!$H$130,0,'Calculs détaillés'!S21)</f>
        <v>23269.645784799744</v>
      </c>
      <c r="T22" s="316">
        <f t="shared" si="16"/>
        <v>10385.807105251886</v>
      </c>
      <c r="U22" s="306">
        <f t="shared" si="17"/>
        <v>12883.838679547858</v>
      </c>
      <c r="V22" s="365">
        <f t="shared" si="18"/>
        <v>333309.73149551498</v>
      </c>
      <c r="W22" s="362">
        <f t="shared" si="4"/>
        <v>16</v>
      </c>
      <c r="X22" s="153">
        <f t="shared" si="19"/>
        <v>2.5000000000000001E-3</v>
      </c>
      <c r="Y22" s="306">
        <f>IF(W22&gt;'Test de compensation'!$H$131,0,'Calculs détaillés'!Y21)</f>
        <v>12830.719306487212</v>
      </c>
      <c r="Z22" s="316">
        <f t="shared" si="20"/>
        <v>159.18809326895231</v>
      </c>
      <c r="AA22" s="306">
        <f t="shared" si="5"/>
        <v>12671.531213218259</v>
      </c>
      <c r="AB22" s="365">
        <f t="shared" si="21"/>
        <v>51003.706094362664</v>
      </c>
      <c r="AC22" s="362">
        <f t="shared" si="6"/>
        <v>16</v>
      </c>
      <c r="AD22" s="366">
        <f t="shared" si="22"/>
        <v>0.04</v>
      </c>
      <c r="AE22" s="306">
        <f>IF(AC22&gt;'Test de compensation'!$H$132,0,'Calculs détaillés'!AE21)</f>
        <v>0</v>
      </c>
      <c r="AF22" s="316">
        <f t="shared" si="23"/>
        <v>-3.5409259796142574E-12</v>
      </c>
      <c r="AG22" s="306">
        <f t="shared" si="7"/>
        <v>3.5409259796142574E-12</v>
      </c>
      <c r="AH22" s="306">
        <f t="shared" si="24"/>
        <v>-9.2064075469970701E-11</v>
      </c>
      <c r="AI22" s="367">
        <f t="shared" si="8"/>
        <v>140354.02261803678</v>
      </c>
      <c r="AJ22" s="368">
        <f>IF(A22&gt;'Test de compensation'!$D$142,0,AF22+Z22+N22+T22)</f>
        <v>30521.939365298684</v>
      </c>
      <c r="AK22" s="373">
        <v>0</v>
      </c>
      <c r="AL22" s="374">
        <v>0</v>
      </c>
      <c r="AM22" s="367" t="s">
        <v>4</v>
      </c>
      <c r="AN22" s="361" t="s">
        <v>4</v>
      </c>
      <c r="AO22" s="365">
        <v>0</v>
      </c>
      <c r="AP22" s="65">
        <v>0</v>
      </c>
      <c r="AQ22" s="367">
        <v>0</v>
      </c>
      <c r="AR22" s="367">
        <v>0</v>
      </c>
      <c r="AS22" s="371">
        <f t="shared" si="9"/>
        <v>0</v>
      </c>
      <c r="AT22" s="372">
        <f>IF(ROUND(AT21,0)&gt;0,AT21-PMT('Test de compensation'!$D$149,'Test de compensation'!$D$142,-'Test de compensation'!$D$124)+AU21,0)</f>
        <v>504602.00584177137</v>
      </c>
      <c r="AU22" s="372">
        <f>AT22*'Test de compensation'!$D$149</f>
        <v>17661.070204462001</v>
      </c>
      <c r="AV22" s="372" t="s">
        <v>4</v>
      </c>
      <c r="AW22" s="367" t="s">
        <v>4</v>
      </c>
      <c r="AX22" s="306"/>
    </row>
    <row r="23" spans="1:50" ht="12.75" customHeight="1" x14ac:dyDescent="0.25">
      <c r="A23" s="358">
        <v>17</v>
      </c>
      <c r="B23" s="359">
        <f t="shared" si="10"/>
        <v>0.02</v>
      </c>
      <c r="C23" s="360">
        <f>IF(A23&gt;'Test de compensation'!$D$142,0,C22+(C22*B22))</f>
        <v>5412.7666406588169</v>
      </c>
      <c r="D23" s="306">
        <f>IF(A23&gt;'Test de compensation'!$D$87,0,'Calculs détaillés'!D22)</f>
        <v>0</v>
      </c>
      <c r="E23" s="306">
        <f t="shared" si="11"/>
        <v>-162.38299921976451</v>
      </c>
      <c r="F23" s="65">
        <v>0</v>
      </c>
      <c r="G23" s="65">
        <v>0</v>
      </c>
      <c r="H23" s="306">
        <f>IF(A23&gt;'Test de compensation'!$D$142,0,H22+H22*B22)</f>
        <v>1647.3428461087346</v>
      </c>
      <c r="I23" s="65">
        <v>0</v>
      </c>
      <c r="J23" s="361">
        <f t="shared" si="0"/>
        <v>6897.7264875477867</v>
      </c>
      <c r="K23" s="362">
        <f t="shared" si="1"/>
        <v>17</v>
      </c>
      <c r="L23" s="366">
        <f t="shared" si="12"/>
        <v>2.1500000000000002E-2</v>
      </c>
      <c r="M23" s="306">
        <f>IF(A23&gt;'Test de compensation'!$H$129,0,'Calculs détaillés'!M22)</f>
        <v>104253.65752674981</v>
      </c>
      <c r="N23" s="316">
        <f t="shared" si="13"/>
        <v>18164.994829538449</v>
      </c>
      <c r="O23" s="306">
        <f t="shared" si="2"/>
        <v>86088.662697211359</v>
      </c>
      <c r="P23" s="365">
        <f t="shared" si="14"/>
        <v>758794.81774643739</v>
      </c>
      <c r="Q23" s="362">
        <f t="shared" si="3"/>
        <v>17</v>
      </c>
      <c r="R23" s="153">
        <f t="shared" si="15"/>
        <v>0.03</v>
      </c>
      <c r="S23" s="306">
        <f>IF(Q23&gt;'Test de compensation'!$H$130,0,'Calculs détaillés'!S22)</f>
        <v>23269.645784799744</v>
      </c>
      <c r="T23" s="316">
        <f t="shared" si="16"/>
        <v>9999.2919448654484</v>
      </c>
      <c r="U23" s="306">
        <f t="shared" si="17"/>
        <v>13270.353839934296</v>
      </c>
      <c r="V23" s="365">
        <f t="shared" si="18"/>
        <v>320039.3776555807</v>
      </c>
      <c r="W23" s="362">
        <f t="shared" si="4"/>
        <v>17</v>
      </c>
      <c r="X23" s="153">
        <f t="shared" si="19"/>
        <v>2.5000000000000001E-3</v>
      </c>
      <c r="Y23" s="306">
        <f>IF(W23&gt;'Test de compensation'!$H$131,0,'Calculs détaillés'!Y22)</f>
        <v>12830.719306487212</v>
      </c>
      <c r="Z23" s="316">
        <f t="shared" si="20"/>
        <v>127.50926523590667</v>
      </c>
      <c r="AA23" s="306">
        <f t="shared" si="5"/>
        <v>12703.210041251305</v>
      </c>
      <c r="AB23" s="365">
        <f t="shared" si="21"/>
        <v>38300.496053111361</v>
      </c>
      <c r="AC23" s="362">
        <f t="shared" si="6"/>
        <v>17</v>
      </c>
      <c r="AD23" s="366">
        <f t="shared" si="22"/>
        <v>0.04</v>
      </c>
      <c r="AE23" s="306">
        <f>IF(AC23&gt;'Test de compensation'!$H$132,0,'Calculs détaillés'!AE22)</f>
        <v>0</v>
      </c>
      <c r="AF23" s="316">
        <f t="shared" si="23"/>
        <v>-3.6825630187988282E-12</v>
      </c>
      <c r="AG23" s="306">
        <f t="shared" si="7"/>
        <v>3.6825630187988282E-12</v>
      </c>
      <c r="AH23" s="306">
        <f t="shared" si="24"/>
        <v>-9.5746638488769524E-11</v>
      </c>
      <c r="AI23" s="367">
        <f t="shared" si="8"/>
        <v>140354.02261803678</v>
      </c>
      <c r="AJ23" s="368">
        <f>IF(A23&gt;'Test de compensation'!$D$142,0,AF23+Z23+N23+T23)</f>
        <v>28291.796039639798</v>
      </c>
      <c r="AK23" s="373">
        <v>0</v>
      </c>
      <c r="AL23" s="374">
        <v>0</v>
      </c>
      <c r="AM23" s="367" t="s">
        <v>4</v>
      </c>
      <c r="AN23" s="361" t="s">
        <v>4</v>
      </c>
      <c r="AO23" s="365">
        <v>0</v>
      </c>
      <c r="AP23" s="65">
        <v>0</v>
      </c>
      <c r="AQ23" s="367">
        <v>0</v>
      </c>
      <c r="AR23" s="367">
        <v>0</v>
      </c>
      <c r="AS23" s="371">
        <f t="shared" si="9"/>
        <v>0</v>
      </c>
      <c r="AT23" s="372">
        <f>IF(ROUND(AT22,0)&gt;0,AT22-PMT('Test de compensation'!$D$149,'Test de compensation'!$D$142,-'Test de compensation'!$D$124)+AU22,0)</f>
        <v>461589.04063518951</v>
      </c>
      <c r="AU23" s="372">
        <f>AT23*'Test de compensation'!$D$149</f>
        <v>16155.616422231635</v>
      </c>
      <c r="AV23" s="372" t="s">
        <v>4</v>
      </c>
      <c r="AW23" s="367" t="s">
        <v>4</v>
      </c>
      <c r="AX23" s="306"/>
    </row>
    <row r="24" spans="1:50" ht="12.75" customHeight="1" x14ac:dyDescent="0.25">
      <c r="A24" s="358">
        <v>18</v>
      </c>
      <c r="B24" s="359">
        <f t="shared" si="10"/>
        <v>0.02</v>
      </c>
      <c r="C24" s="360">
        <f>IF(A24&gt;'Test de compensation'!$D$142,0,C23+(C23*B23))</f>
        <v>5521.0219734719931</v>
      </c>
      <c r="D24" s="306">
        <f>IF(A24&gt;'Test de compensation'!$D$87,0,'Calculs détaillés'!D23)</f>
        <v>0</v>
      </c>
      <c r="E24" s="306">
        <f t="shared" si="11"/>
        <v>-165.6306592041598</v>
      </c>
      <c r="F24" s="65">
        <v>0</v>
      </c>
      <c r="G24" s="65">
        <v>0</v>
      </c>
      <c r="H24" s="306">
        <f>IF(A24&gt;'Test de compensation'!$D$142,0,H23+H23*B23)</f>
        <v>1680.2897030309093</v>
      </c>
      <c r="I24" s="65">
        <v>0</v>
      </c>
      <c r="J24" s="361">
        <f t="shared" si="0"/>
        <v>7035.6810172987425</v>
      </c>
      <c r="K24" s="362">
        <f t="shared" si="1"/>
        <v>18</v>
      </c>
      <c r="L24" s="366">
        <f t="shared" si="12"/>
        <v>2.1500000000000002E-2</v>
      </c>
      <c r="M24" s="306">
        <f>IF(A24&gt;'Test de compensation'!$H$129,0,'Calculs détaillés'!M23)</f>
        <v>104253.65752674981</v>
      </c>
      <c r="N24" s="316">
        <f t="shared" si="13"/>
        <v>16314.088581548405</v>
      </c>
      <c r="O24" s="306">
        <f t="shared" si="2"/>
        <v>87939.568945201405</v>
      </c>
      <c r="P24" s="365">
        <f t="shared" si="14"/>
        <v>670855.24880123604</v>
      </c>
      <c r="Q24" s="362">
        <f t="shared" si="3"/>
        <v>18</v>
      </c>
      <c r="R24" s="153">
        <f t="shared" si="15"/>
        <v>0.03</v>
      </c>
      <c r="S24" s="306">
        <f>IF(Q24&gt;'Test de compensation'!$H$130,0,'Calculs détaillés'!S23)</f>
        <v>23269.645784799744</v>
      </c>
      <c r="T24" s="316">
        <f t="shared" si="16"/>
        <v>9601.1813296674209</v>
      </c>
      <c r="U24" s="306">
        <f t="shared" si="17"/>
        <v>13668.464455132324</v>
      </c>
      <c r="V24" s="365">
        <f t="shared" si="18"/>
        <v>306370.91320044838</v>
      </c>
      <c r="W24" s="362">
        <f t="shared" si="4"/>
        <v>18</v>
      </c>
      <c r="X24" s="153">
        <f t="shared" si="19"/>
        <v>2.5000000000000001E-3</v>
      </c>
      <c r="Y24" s="306">
        <f>IF(W24&gt;'Test de compensation'!$H$131,0,'Calculs détaillés'!Y23)</f>
        <v>12830.719306487212</v>
      </c>
      <c r="Z24" s="316">
        <f t="shared" si="20"/>
        <v>95.751240132778406</v>
      </c>
      <c r="AA24" s="306">
        <f t="shared" si="5"/>
        <v>12734.968066354433</v>
      </c>
      <c r="AB24" s="365">
        <f t="shared" si="21"/>
        <v>25565.527986756926</v>
      </c>
      <c r="AC24" s="362">
        <f t="shared" si="6"/>
        <v>18</v>
      </c>
      <c r="AD24" s="366">
        <f t="shared" si="22"/>
        <v>0.04</v>
      </c>
      <c r="AE24" s="306">
        <f>IF(AC24&gt;'Test de compensation'!$H$132,0,'Calculs détaillés'!AE23)</f>
        <v>0</v>
      </c>
      <c r="AF24" s="316">
        <f t="shared" si="23"/>
        <v>-3.829865539550781E-12</v>
      </c>
      <c r="AG24" s="306">
        <f t="shared" si="7"/>
        <v>3.829865539550781E-12</v>
      </c>
      <c r="AH24" s="306">
        <f t="shared" si="24"/>
        <v>-9.9576504028320304E-11</v>
      </c>
      <c r="AI24" s="367">
        <f t="shared" si="8"/>
        <v>140354.02261803678</v>
      </c>
      <c r="AJ24" s="368">
        <f>IF(A24&gt;'Test de compensation'!$D$142,0,AF24+Z24+N24+T24)</f>
        <v>26011.021151348599</v>
      </c>
      <c r="AK24" s="373">
        <v>0</v>
      </c>
      <c r="AL24" s="374">
        <v>0</v>
      </c>
      <c r="AM24" s="367" t="s">
        <v>4</v>
      </c>
      <c r="AN24" s="361" t="s">
        <v>4</v>
      </c>
      <c r="AO24" s="365">
        <v>0</v>
      </c>
      <c r="AP24" s="65">
        <v>0</v>
      </c>
      <c r="AQ24" s="367">
        <v>0</v>
      </c>
      <c r="AR24" s="367">
        <v>0</v>
      </c>
      <c r="AS24" s="371">
        <f t="shared" si="9"/>
        <v>0</v>
      </c>
      <c r="AT24" s="372">
        <f>IF(ROUND(AT23,0)&gt;0,AT23-PMT('Test de compensation'!$D$149,'Test de compensation'!$D$142,-'Test de compensation'!$D$124)+AU23,0)</f>
        <v>417070.62164637732</v>
      </c>
      <c r="AU24" s="372">
        <f>AT24*'Test de compensation'!$D$149</f>
        <v>14597.471757623207</v>
      </c>
      <c r="AV24" s="372" t="s">
        <v>4</v>
      </c>
      <c r="AW24" s="367" t="s">
        <v>4</v>
      </c>
      <c r="AX24" s="306"/>
    </row>
    <row r="25" spans="1:50" ht="12.75" customHeight="1" x14ac:dyDescent="0.25">
      <c r="A25" s="358">
        <v>19</v>
      </c>
      <c r="B25" s="359">
        <f t="shared" si="10"/>
        <v>0.02</v>
      </c>
      <c r="C25" s="360">
        <f>IF(A25&gt;'Test de compensation'!$D$142,0,C24+(C24*B24))</f>
        <v>5631.4424129414328</v>
      </c>
      <c r="D25" s="306">
        <f>IF(A25&gt;'Test de compensation'!$D$87,0,'Calculs détaillés'!D24)</f>
        <v>0</v>
      </c>
      <c r="E25" s="306">
        <f t="shared" si="11"/>
        <v>-168.94327238824297</v>
      </c>
      <c r="F25" s="65">
        <v>0</v>
      </c>
      <c r="G25" s="65">
        <v>0</v>
      </c>
      <c r="H25" s="306">
        <f>IF(A25&gt;'Test de compensation'!$D$142,0,H24+H24*B24)</f>
        <v>1713.8954970915274</v>
      </c>
      <c r="I25" s="65">
        <v>0</v>
      </c>
      <c r="J25" s="361">
        <f t="shared" si="0"/>
        <v>7176.3946376447175</v>
      </c>
      <c r="K25" s="362">
        <f t="shared" si="1"/>
        <v>19</v>
      </c>
      <c r="L25" s="366">
        <f t="shared" si="12"/>
        <v>2.1500000000000002E-2</v>
      </c>
      <c r="M25" s="306">
        <f>IF(A25&gt;'Test de compensation'!$H$129,0,'Calculs détaillés'!M24)</f>
        <v>104253.65752674981</v>
      </c>
      <c r="N25" s="316">
        <f t="shared" si="13"/>
        <v>14423.387849226576</v>
      </c>
      <c r="O25" s="306">
        <f t="shared" si="2"/>
        <v>89830.269677523233</v>
      </c>
      <c r="P25" s="365">
        <f t="shared" si="14"/>
        <v>581024.97912371275</v>
      </c>
      <c r="Q25" s="362">
        <f t="shared" si="3"/>
        <v>19</v>
      </c>
      <c r="R25" s="153">
        <f t="shared" si="15"/>
        <v>0.03</v>
      </c>
      <c r="S25" s="306">
        <f>IF(Q25&gt;'Test de compensation'!$H$130,0,'Calculs détaillés'!S24)</f>
        <v>23269.645784799744</v>
      </c>
      <c r="T25" s="316">
        <f t="shared" si="16"/>
        <v>9191.1273960134513</v>
      </c>
      <c r="U25" s="306">
        <f t="shared" si="17"/>
        <v>14078.518388786293</v>
      </c>
      <c r="V25" s="365">
        <f t="shared" si="18"/>
        <v>292292.39481166209</v>
      </c>
      <c r="W25" s="362">
        <f t="shared" si="4"/>
        <v>19</v>
      </c>
      <c r="X25" s="153">
        <f t="shared" si="19"/>
        <v>2.5000000000000001E-3</v>
      </c>
      <c r="Y25" s="306">
        <f>IF(W25&gt;'Test de compensation'!$H$131,0,'Calculs détaillés'!Y24)</f>
        <v>12830.719306487212</v>
      </c>
      <c r="Z25" s="316">
        <f t="shared" si="20"/>
        <v>63.913819966892319</v>
      </c>
      <c r="AA25" s="306">
        <f t="shared" si="5"/>
        <v>12766.805486520319</v>
      </c>
      <c r="AB25" s="365">
        <f t="shared" si="21"/>
        <v>12798.722500236607</v>
      </c>
      <c r="AC25" s="362">
        <f t="shared" si="6"/>
        <v>19</v>
      </c>
      <c r="AD25" s="366">
        <f t="shared" si="22"/>
        <v>0.04</v>
      </c>
      <c r="AE25" s="306">
        <f>IF(AC25&gt;'Test de compensation'!$H$132,0,'Calculs détaillés'!AE24)</f>
        <v>0</v>
      </c>
      <c r="AF25" s="316">
        <f t="shared" si="23"/>
        <v>-3.9830601611328125E-12</v>
      </c>
      <c r="AG25" s="306">
        <f t="shared" si="7"/>
        <v>3.9830601611328125E-12</v>
      </c>
      <c r="AH25" s="306">
        <f t="shared" si="24"/>
        <v>-1.0355956418945311E-10</v>
      </c>
      <c r="AI25" s="367">
        <f t="shared" si="8"/>
        <v>140354.02261803678</v>
      </c>
      <c r="AJ25" s="368">
        <f>IF(A25&gt;'Test de compensation'!$D$142,0,AF25+Z25+N25+T25)</f>
        <v>23678.429065206918</v>
      </c>
      <c r="AK25" s="373">
        <v>0</v>
      </c>
      <c r="AL25" s="374">
        <v>0</v>
      </c>
      <c r="AM25" s="367" t="s">
        <v>4</v>
      </c>
      <c r="AN25" s="361" t="s">
        <v>4</v>
      </c>
      <c r="AO25" s="365">
        <v>0</v>
      </c>
      <c r="AP25" s="65">
        <v>0</v>
      </c>
      <c r="AQ25" s="367">
        <v>0</v>
      </c>
      <c r="AR25" s="367">
        <v>0</v>
      </c>
      <c r="AS25" s="371">
        <f t="shared" si="9"/>
        <v>0</v>
      </c>
      <c r="AT25" s="372">
        <f>IF(ROUND(AT24,0)&gt;0,AT24-PMT('Test de compensation'!$D$149,'Test de compensation'!$D$142,-'Test de compensation'!$D$124)+AU24,0)</f>
        <v>370994.05799295666</v>
      </c>
      <c r="AU25" s="372">
        <f>AT25*'Test de compensation'!$D$149</f>
        <v>12984.792029753484</v>
      </c>
      <c r="AV25" s="372" t="s">
        <v>4</v>
      </c>
      <c r="AW25" s="367" t="s">
        <v>4</v>
      </c>
      <c r="AX25" s="306"/>
    </row>
    <row r="26" spans="1:50" ht="12.75" customHeight="1" x14ac:dyDescent="0.25">
      <c r="A26" s="358">
        <v>20</v>
      </c>
      <c r="B26" s="359">
        <f t="shared" si="10"/>
        <v>0.02</v>
      </c>
      <c r="C26" s="360">
        <f>IF(A26&gt;'Test de compensation'!$D$142,0,C25+(C25*B25))</f>
        <v>5744.0712612002617</v>
      </c>
      <c r="D26" s="306">
        <f>IF(A26&gt;'Test de compensation'!$D$87,0,'Calculs détaillés'!D25)</f>
        <v>0</v>
      </c>
      <c r="E26" s="306">
        <f t="shared" si="11"/>
        <v>-172.32213783600784</v>
      </c>
      <c r="F26" s="65">
        <v>0</v>
      </c>
      <c r="G26" s="65">
        <v>0</v>
      </c>
      <c r="H26" s="306">
        <f>IF(A26&gt;'Test de compensation'!$D$142,0,H25+H25*B25)</f>
        <v>1748.173407033358</v>
      </c>
      <c r="I26" s="65">
        <v>0</v>
      </c>
      <c r="J26" s="361">
        <f t="shared" si="0"/>
        <v>7319.9225303976118</v>
      </c>
      <c r="K26" s="362">
        <f t="shared" si="1"/>
        <v>20</v>
      </c>
      <c r="L26" s="366">
        <f t="shared" si="12"/>
        <v>2.1500000000000002E-2</v>
      </c>
      <c r="M26" s="306">
        <f>IF(A26&gt;'Test de compensation'!$H$129,0,'Calculs détaillés'!M25)</f>
        <v>104253.65752674981</v>
      </c>
      <c r="N26" s="316">
        <f t="shared" si="13"/>
        <v>12492.037051159825</v>
      </c>
      <c r="O26" s="306">
        <f t="shared" si="2"/>
        <v>91761.620475589982</v>
      </c>
      <c r="P26" s="365">
        <f t="shared" si="14"/>
        <v>489263.35864812275</v>
      </c>
      <c r="Q26" s="362">
        <f t="shared" si="3"/>
        <v>20</v>
      </c>
      <c r="R26" s="153">
        <f t="shared" si="15"/>
        <v>0.03</v>
      </c>
      <c r="S26" s="306">
        <f>IF(Q26&gt;'Test de compensation'!$H$130,0,'Calculs détaillés'!S25)</f>
        <v>23269.645784799744</v>
      </c>
      <c r="T26" s="316">
        <f t="shared" si="16"/>
        <v>8768.7718443498616</v>
      </c>
      <c r="U26" s="306">
        <f t="shared" si="17"/>
        <v>14500.873940449883</v>
      </c>
      <c r="V26" s="365">
        <f t="shared" si="18"/>
        <v>277791.52087121218</v>
      </c>
      <c r="W26" s="362">
        <f t="shared" si="4"/>
        <v>20</v>
      </c>
      <c r="X26" s="153">
        <f t="shared" si="19"/>
        <v>2.5000000000000001E-3</v>
      </c>
      <c r="Y26" s="306">
        <f>IF(W26&gt;'Test de compensation'!$H$131,0,'Calculs détaillés'!Y25)</f>
        <v>12830.719306487212</v>
      </c>
      <c r="Z26" s="316">
        <f t="shared" si="20"/>
        <v>31.996806250591519</v>
      </c>
      <c r="AA26" s="306">
        <f t="shared" si="5"/>
        <v>12798.722500236619</v>
      </c>
      <c r="AB26" s="365">
        <f t="shared" si="21"/>
        <v>0</v>
      </c>
      <c r="AC26" s="362">
        <f t="shared" si="6"/>
        <v>20</v>
      </c>
      <c r="AD26" s="366">
        <f t="shared" si="22"/>
        <v>0.04</v>
      </c>
      <c r="AE26" s="306">
        <f>IF(AC26&gt;'Test de compensation'!$H$132,0,'Calculs détaillés'!AE25)</f>
        <v>0</v>
      </c>
      <c r="AF26" s="316">
        <f t="shared" si="23"/>
        <v>-4.1423825675781246E-12</v>
      </c>
      <c r="AG26" s="306">
        <f t="shared" si="7"/>
        <v>4.1423825675781246E-12</v>
      </c>
      <c r="AH26" s="306">
        <f t="shared" si="24"/>
        <v>-1.0770194675703124E-10</v>
      </c>
      <c r="AI26" s="367">
        <f t="shared" si="8"/>
        <v>140354.02261803678</v>
      </c>
      <c r="AJ26" s="368">
        <f>IF(A26&gt;'Test de compensation'!$D$142,0,AF26+Z26+N26+T26)</f>
        <v>21292.805701760273</v>
      </c>
      <c r="AK26" s="373">
        <v>0</v>
      </c>
      <c r="AL26" s="374">
        <v>0</v>
      </c>
      <c r="AM26" s="367" t="s">
        <v>4</v>
      </c>
      <c r="AN26" s="361" t="s">
        <v>4</v>
      </c>
      <c r="AO26" s="365">
        <v>0</v>
      </c>
      <c r="AP26" s="65">
        <v>0</v>
      </c>
      <c r="AQ26" s="367">
        <v>0</v>
      </c>
      <c r="AR26" s="367">
        <v>0</v>
      </c>
      <c r="AS26" s="371">
        <f t="shared" si="9"/>
        <v>0</v>
      </c>
      <c r="AT26" s="372">
        <f>IF(ROUND(AT25,0)&gt;0,AT25-PMT('Test de compensation'!$D$149,'Test de compensation'!$D$142,-'Test de compensation'!$D$124)+AU25,0)</f>
        <v>323304.81461166631</v>
      </c>
      <c r="AU26" s="372">
        <f>AT26*'Test de compensation'!$D$149</f>
        <v>11315.668511408321</v>
      </c>
      <c r="AV26" s="372" t="s">
        <v>4</v>
      </c>
      <c r="AW26" s="367" t="s">
        <v>4</v>
      </c>
      <c r="AX26" s="306"/>
    </row>
    <row r="27" spans="1:50" ht="12.75" customHeight="1" x14ac:dyDescent="0.25">
      <c r="A27" s="358">
        <v>21</v>
      </c>
      <c r="B27" s="359">
        <f t="shared" si="10"/>
        <v>0.02</v>
      </c>
      <c r="C27" s="360">
        <f>IF(A27&gt;'Test de compensation'!$D$142,0,C26+(C26*B26))</f>
        <v>5858.9526864242671</v>
      </c>
      <c r="D27" s="306">
        <f>IF(A27&gt;'Test de compensation'!$D$87,0,'Calculs détaillés'!D26)</f>
        <v>0</v>
      </c>
      <c r="E27" s="306">
        <f t="shared" si="11"/>
        <v>-175.768580592728</v>
      </c>
      <c r="F27" s="65">
        <v>0</v>
      </c>
      <c r="G27" s="65">
        <v>0</v>
      </c>
      <c r="H27" s="306">
        <f>IF(A27&gt;'Test de compensation'!$D$142,0,H26+H26*B26)</f>
        <v>1783.1368751740251</v>
      </c>
      <c r="I27" s="65">
        <v>0</v>
      </c>
      <c r="J27" s="361">
        <f t="shared" si="0"/>
        <v>7466.320981005565</v>
      </c>
      <c r="K27" s="362">
        <f t="shared" si="1"/>
        <v>21</v>
      </c>
      <c r="L27" s="366">
        <f t="shared" si="12"/>
        <v>2.1500000000000002E-2</v>
      </c>
      <c r="M27" s="306">
        <f>IF(A27&gt;'Test de compensation'!$H$129,0,'Calculs détaillés'!M26)</f>
        <v>104253.65752674981</v>
      </c>
      <c r="N27" s="316">
        <f t="shared" si="13"/>
        <v>10519.162210934641</v>
      </c>
      <c r="O27" s="306">
        <f t="shared" si="2"/>
        <v>93734.495315815177</v>
      </c>
      <c r="P27" s="365">
        <f t="shared" si="14"/>
        <v>395528.86333230755</v>
      </c>
      <c r="Q27" s="362">
        <f t="shared" si="3"/>
        <v>21</v>
      </c>
      <c r="R27" s="153">
        <f t="shared" si="15"/>
        <v>0.03</v>
      </c>
      <c r="S27" s="306">
        <f>IF(Q27&gt;'Test de compensation'!$H$130,0,'Calculs détaillés'!S26)</f>
        <v>23269.645784799744</v>
      </c>
      <c r="T27" s="316">
        <f t="shared" si="16"/>
        <v>8333.7456261363659</v>
      </c>
      <c r="U27" s="306">
        <f t="shared" si="17"/>
        <v>14935.900158663379</v>
      </c>
      <c r="V27" s="365">
        <f t="shared" si="18"/>
        <v>262855.62071254879</v>
      </c>
      <c r="W27" s="362">
        <f t="shared" si="4"/>
        <v>21</v>
      </c>
      <c r="X27" s="153">
        <f t="shared" si="19"/>
        <v>2.5000000000000001E-3</v>
      </c>
      <c r="Y27" s="306">
        <f>IF(W27&gt;'Test de compensation'!$H$131,0,'Calculs détaillés'!Y26)</f>
        <v>0</v>
      </c>
      <c r="Z27" s="316">
        <f t="shared" si="20"/>
        <v>0</v>
      </c>
      <c r="AA27" s="306">
        <f t="shared" si="5"/>
        <v>0</v>
      </c>
      <c r="AB27" s="365">
        <f t="shared" si="21"/>
        <v>0</v>
      </c>
      <c r="AC27" s="362">
        <f t="shared" si="6"/>
        <v>21</v>
      </c>
      <c r="AD27" s="366">
        <f t="shared" si="22"/>
        <v>0.04</v>
      </c>
      <c r="AE27" s="306">
        <f>IF(AC27&gt;'Test de compensation'!$H$132,0,'Calculs détaillés'!AE26)</f>
        <v>0</v>
      </c>
      <c r="AF27" s="316">
        <f t="shared" si="23"/>
        <v>-4.3080778702812492E-12</v>
      </c>
      <c r="AG27" s="306">
        <f t="shared" si="7"/>
        <v>4.3080778702812492E-12</v>
      </c>
      <c r="AH27" s="306">
        <f t="shared" si="24"/>
        <v>-1.1201002462731249E-10</v>
      </c>
      <c r="AI27" s="367">
        <f t="shared" si="8"/>
        <v>127523.30331154956</v>
      </c>
      <c r="AJ27" s="368">
        <f>IF(A27&gt;'Test de compensation'!$D$142,0,AF27+Z27+N27+T27)</f>
        <v>18852.907837071005</v>
      </c>
      <c r="AK27" s="373">
        <v>0</v>
      </c>
      <c r="AL27" s="374">
        <v>0</v>
      </c>
      <c r="AM27" s="367"/>
      <c r="AN27" s="361"/>
      <c r="AO27" s="365">
        <v>0</v>
      </c>
      <c r="AP27" s="65">
        <v>0</v>
      </c>
      <c r="AQ27" s="367">
        <v>0</v>
      </c>
      <c r="AR27" s="367">
        <v>0</v>
      </c>
      <c r="AS27" s="371">
        <f t="shared" si="9"/>
        <v>0</v>
      </c>
      <c r="AT27" s="372">
        <f>IF(ROUND(AT26,0)&gt;0,AT26-PMT('Test de compensation'!$D$149,'Test de compensation'!$D$142,-'Test de compensation'!$D$124)+AU26,0)</f>
        <v>273946.44771203079</v>
      </c>
      <c r="AU27" s="372">
        <f>AT27*'Test de compensation'!$D$149</f>
        <v>9588.125669921079</v>
      </c>
      <c r="AV27" s="367"/>
      <c r="AW27" s="367"/>
      <c r="AX27" s="306"/>
    </row>
    <row r="28" spans="1:50" ht="12.75" customHeight="1" x14ac:dyDescent="0.25">
      <c r="A28" s="358">
        <v>22</v>
      </c>
      <c r="B28" s="359">
        <f t="shared" si="10"/>
        <v>0.02</v>
      </c>
      <c r="C28" s="360">
        <f>IF(A28&gt;'Test de compensation'!$D$142,0,C27+(C27*B27))</f>
        <v>5976.1317401527522</v>
      </c>
      <c r="D28" s="306">
        <f>IF(A28&gt;'Test de compensation'!$D$87,0,'Calculs détaillés'!D27)</f>
        <v>0</v>
      </c>
      <c r="E28" s="306">
        <f t="shared" si="11"/>
        <v>-179.28395220458256</v>
      </c>
      <c r="F28" s="65">
        <v>0</v>
      </c>
      <c r="G28" s="65">
        <v>0</v>
      </c>
      <c r="H28" s="306">
        <f>IF(A28&gt;'Test de compensation'!$D$142,0,H27+H27*B27)</f>
        <v>1818.7996126775056</v>
      </c>
      <c r="I28" s="65">
        <v>0</v>
      </c>
      <c r="J28" s="361">
        <f t="shared" si="0"/>
        <v>7615.6474006256758</v>
      </c>
      <c r="K28" s="362">
        <f t="shared" si="1"/>
        <v>22</v>
      </c>
      <c r="L28" s="366">
        <f t="shared" si="12"/>
        <v>2.1500000000000002E-2</v>
      </c>
      <c r="M28" s="306">
        <f>IF(A28&gt;'Test de compensation'!$H$129,0,'Calculs détaillés'!M27)</f>
        <v>104253.65752674981</v>
      </c>
      <c r="N28" s="316">
        <f t="shared" si="13"/>
        <v>8503.8705616446132</v>
      </c>
      <c r="O28" s="306">
        <f t="shared" si="2"/>
        <v>95749.786965105202</v>
      </c>
      <c r="P28" s="365">
        <f t="shared" si="14"/>
        <v>299779.07636720233</v>
      </c>
      <c r="Q28" s="362">
        <f t="shared" si="3"/>
        <v>22</v>
      </c>
      <c r="R28" s="153">
        <f t="shared" si="15"/>
        <v>0.03</v>
      </c>
      <c r="S28" s="306">
        <f>IF(Q28&gt;'Test de compensation'!$H$130,0,'Calculs détaillés'!S27)</f>
        <v>23269.645784799744</v>
      </c>
      <c r="T28" s="316">
        <f t="shared" si="16"/>
        <v>7885.6686213764633</v>
      </c>
      <c r="U28" s="306">
        <f t="shared" si="17"/>
        <v>15383.977163423282</v>
      </c>
      <c r="V28" s="365">
        <f t="shared" si="18"/>
        <v>247471.6435491255</v>
      </c>
      <c r="W28" s="362">
        <f t="shared" si="4"/>
        <v>22</v>
      </c>
      <c r="X28" s="153">
        <f t="shared" si="19"/>
        <v>2.5000000000000001E-3</v>
      </c>
      <c r="Y28" s="306">
        <f>IF(W28&gt;'Test de compensation'!$H$131,0,'Calculs détaillés'!Y27)</f>
        <v>0</v>
      </c>
      <c r="Z28" s="316">
        <f t="shared" si="20"/>
        <v>0</v>
      </c>
      <c r="AA28" s="306">
        <f t="shared" si="5"/>
        <v>0</v>
      </c>
      <c r="AB28" s="365">
        <f t="shared" si="21"/>
        <v>0</v>
      </c>
      <c r="AC28" s="362">
        <f t="shared" si="6"/>
        <v>22</v>
      </c>
      <c r="AD28" s="366">
        <f t="shared" si="22"/>
        <v>0.04</v>
      </c>
      <c r="AE28" s="306">
        <f>IF(AC28&gt;'Test de compensation'!$H$132,0,'Calculs détaillés'!AE27)</f>
        <v>0</v>
      </c>
      <c r="AF28" s="316">
        <f t="shared" si="23"/>
        <v>-4.4804009850924992E-12</v>
      </c>
      <c r="AG28" s="306">
        <f t="shared" si="7"/>
        <v>4.4804009850924992E-12</v>
      </c>
      <c r="AH28" s="306">
        <f t="shared" si="24"/>
        <v>-1.1649042561240499E-10</v>
      </c>
      <c r="AI28" s="367">
        <f t="shared" si="8"/>
        <v>127523.30331154956</v>
      </c>
      <c r="AJ28" s="368">
        <f>IF(A28&gt;'Test de compensation'!$D$142,0,AF28+Z28+N28+T28)</f>
        <v>16389.539183021072</v>
      </c>
      <c r="AK28" s="373">
        <v>0</v>
      </c>
      <c r="AL28" s="374">
        <v>0</v>
      </c>
      <c r="AM28" s="367"/>
      <c r="AN28" s="361"/>
      <c r="AO28" s="365">
        <v>0</v>
      </c>
      <c r="AP28" s="65">
        <v>0</v>
      </c>
      <c r="AQ28" s="367">
        <v>0</v>
      </c>
      <c r="AR28" s="367">
        <v>0</v>
      </c>
      <c r="AS28" s="371">
        <f t="shared" si="9"/>
        <v>0</v>
      </c>
      <c r="AT28" s="372">
        <f>IF(ROUND(AT27,0)&gt;0,AT27-PMT('Test de compensation'!$D$149,'Test de compensation'!$D$142,-'Test de compensation'!$D$124)+AU27,0)</f>
        <v>222860.53797090802</v>
      </c>
      <c r="AU28" s="372">
        <f>AT28*'Test de compensation'!$D$149</f>
        <v>7800.118828981781</v>
      </c>
      <c r="AV28" s="367"/>
      <c r="AW28" s="367"/>
      <c r="AX28" s="306"/>
    </row>
    <row r="29" spans="1:50" ht="12.75" customHeight="1" x14ac:dyDescent="0.25">
      <c r="A29" s="358">
        <v>23</v>
      </c>
      <c r="B29" s="359">
        <f t="shared" si="10"/>
        <v>0.02</v>
      </c>
      <c r="C29" s="360">
        <f>IF(A29&gt;'Test de compensation'!$D$142,0,C28+(C28*B28))</f>
        <v>6095.6543749558068</v>
      </c>
      <c r="D29" s="306">
        <f>IF(A29&gt;'Test de compensation'!$D$87,0,'Calculs détaillés'!D28)</f>
        <v>0</v>
      </c>
      <c r="E29" s="306">
        <f t="shared" si="11"/>
        <v>-182.86963124867421</v>
      </c>
      <c r="F29" s="65">
        <v>0</v>
      </c>
      <c r="G29" s="65">
        <v>0</v>
      </c>
      <c r="H29" s="306">
        <f>IF(A29&gt;'Test de compensation'!$D$142,0,H28+H28*B28)</f>
        <v>1855.1756049310557</v>
      </c>
      <c r="I29" s="65">
        <v>0</v>
      </c>
      <c r="J29" s="361">
        <f t="shared" si="0"/>
        <v>7767.9603486381875</v>
      </c>
      <c r="K29" s="362">
        <f t="shared" si="1"/>
        <v>23</v>
      </c>
      <c r="L29" s="366">
        <f t="shared" si="12"/>
        <v>2.1500000000000002E-2</v>
      </c>
      <c r="M29" s="306">
        <f>IF(A29&gt;'Test de compensation'!$H$129,0,'Calculs détaillés'!M28)</f>
        <v>104253.65752674981</v>
      </c>
      <c r="N29" s="316">
        <f t="shared" si="13"/>
        <v>6445.2501418948505</v>
      </c>
      <c r="O29" s="306">
        <f t="shared" si="2"/>
        <v>97808.40738485496</v>
      </c>
      <c r="P29" s="365">
        <f t="shared" si="14"/>
        <v>201970.66898234736</v>
      </c>
      <c r="Q29" s="362">
        <f t="shared" si="3"/>
        <v>23</v>
      </c>
      <c r="R29" s="153">
        <f t="shared" si="15"/>
        <v>0.03</v>
      </c>
      <c r="S29" s="306">
        <f>IF(Q29&gt;'Test de compensation'!$H$130,0,'Calculs détaillés'!S28)</f>
        <v>23269.645784799744</v>
      </c>
      <c r="T29" s="316">
        <f t="shared" si="16"/>
        <v>7424.1493064737642</v>
      </c>
      <c r="U29" s="306">
        <f t="shared" si="17"/>
        <v>15845.49647832598</v>
      </c>
      <c r="V29" s="365">
        <f t="shared" si="18"/>
        <v>231626.14707079952</v>
      </c>
      <c r="W29" s="362">
        <f t="shared" si="4"/>
        <v>23</v>
      </c>
      <c r="X29" s="153">
        <f t="shared" si="19"/>
        <v>2.5000000000000001E-3</v>
      </c>
      <c r="Y29" s="306">
        <f>IF(W29&gt;'Test de compensation'!$H$131,0,'Calculs détaillés'!Y28)</f>
        <v>0</v>
      </c>
      <c r="Z29" s="316">
        <f t="shared" si="20"/>
        <v>0</v>
      </c>
      <c r="AA29" s="306">
        <f t="shared" si="5"/>
        <v>0</v>
      </c>
      <c r="AB29" s="365">
        <f t="shared" si="21"/>
        <v>0</v>
      </c>
      <c r="AC29" s="362">
        <f t="shared" si="6"/>
        <v>23</v>
      </c>
      <c r="AD29" s="366">
        <f t="shared" si="22"/>
        <v>0.04</v>
      </c>
      <c r="AE29" s="306">
        <f>IF(AC29&gt;'Test de compensation'!$H$132,0,'Calculs détaillés'!AE28)</f>
        <v>0</v>
      </c>
      <c r="AF29" s="316">
        <f t="shared" si="23"/>
        <v>-4.6596170244961995E-12</v>
      </c>
      <c r="AG29" s="306">
        <f t="shared" si="7"/>
        <v>4.6596170244961995E-12</v>
      </c>
      <c r="AH29" s="306">
        <f t="shared" si="24"/>
        <v>-1.2115004263690118E-10</v>
      </c>
      <c r="AI29" s="367">
        <f t="shared" si="8"/>
        <v>127523.30331154956</v>
      </c>
      <c r="AJ29" s="368">
        <f>IF(A29&gt;'Test de compensation'!$D$142,0,AF29+Z29+N29+T29)</f>
        <v>13869.399448368611</v>
      </c>
      <c r="AK29" s="373">
        <v>0</v>
      </c>
      <c r="AL29" s="374">
        <v>0</v>
      </c>
      <c r="AM29" s="367"/>
      <c r="AN29" s="361"/>
      <c r="AO29" s="365">
        <v>0</v>
      </c>
      <c r="AP29" s="65">
        <v>0</v>
      </c>
      <c r="AQ29" s="367">
        <v>0</v>
      </c>
      <c r="AR29" s="367">
        <v>0</v>
      </c>
      <c r="AS29" s="371">
        <f t="shared" si="9"/>
        <v>0</v>
      </c>
      <c r="AT29" s="372">
        <f>IF(ROUND(AT28,0)&gt;0,AT28-PMT('Test de compensation'!$D$149,'Test de compensation'!$D$142,-'Test de compensation'!$D$124)+AU28,0)</f>
        <v>169986.62138884596</v>
      </c>
      <c r="AU29" s="372">
        <f>AT29*'Test de compensation'!$D$149</f>
        <v>5949.5317486096092</v>
      </c>
      <c r="AV29" s="367"/>
      <c r="AW29" s="367"/>
      <c r="AX29" s="306"/>
    </row>
    <row r="30" spans="1:50" ht="12.75" customHeight="1" x14ac:dyDescent="0.25">
      <c r="A30" s="358">
        <v>24</v>
      </c>
      <c r="B30" s="359">
        <f t="shared" si="10"/>
        <v>0.02</v>
      </c>
      <c r="C30" s="360">
        <f>IF(A30&gt;'Test de compensation'!$D$142,0,C29+(C29*B29))</f>
        <v>6217.5674624549229</v>
      </c>
      <c r="D30" s="306">
        <f>IF(A30&gt;'Test de compensation'!$D$87,0,'Calculs détaillés'!D29)</f>
        <v>0</v>
      </c>
      <c r="E30" s="306">
        <f t="shared" si="11"/>
        <v>-186.52702387364769</v>
      </c>
      <c r="F30" s="65">
        <v>0</v>
      </c>
      <c r="G30" s="65">
        <v>0</v>
      </c>
      <c r="H30" s="306">
        <f>IF(A30&gt;'Test de compensation'!$D$142,0,H29+H29*B29)</f>
        <v>1892.2791170296769</v>
      </c>
      <c r="I30" s="65">
        <v>0</v>
      </c>
      <c r="J30" s="361">
        <f t="shared" si="0"/>
        <v>7923.3195556109522</v>
      </c>
      <c r="K30" s="362">
        <f t="shared" si="1"/>
        <v>24</v>
      </c>
      <c r="L30" s="366">
        <f t="shared" si="12"/>
        <v>2.1500000000000002E-2</v>
      </c>
      <c r="M30" s="306">
        <f>IF(A30&gt;'Test de compensation'!$H$129,0,'Calculs détaillés'!M29)</f>
        <v>104253.65752674981</v>
      </c>
      <c r="N30" s="316">
        <f t="shared" si="13"/>
        <v>4342.3693831204682</v>
      </c>
      <c r="O30" s="306">
        <f t="shared" si="2"/>
        <v>99911.288143629339</v>
      </c>
      <c r="P30" s="365">
        <f t="shared" si="14"/>
        <v>102059.38083871802</v>
      </c>
      <c r="Q30" s="362">
        <f t="shared" si="3"/>
        <v>24</v>
      </c>
      <c r="R30" s="153">
        <f t="shared" si="15"/>
        <v>0.03</v>
      </c>
      <c r="S30" s="306">
        <f>IF(Q30&gt;'Test de compensation'!$H$130,0,'Calculs détaillés'!S29)</f>
        <v>23269.645784799744</v>
      </c>
      <c r="T30" s="316">
        <f t="shared" si="16"/>
        <v>6948.784412123985</v>
      </c>
      <c r="U30" s="306">
        <f t="shared" si="17"/>
        <v>16320.861372675759</v>
      </c>
      <c r="V30" s="365">
        <f t="shared" si="18"/>
        <v>215305.28569812377</v>
      </c>
      <c r="W30" s="362">
        <f t="shared" si="4"/>
        <v>24</v>
      </c>
      <c r="X30" s="153">
        <f t="shared" si="19"/>
        <v>2.5000000000000001E-3</v>
      </c>
      <c r="Y30" s="306">
        <f>IF(W30&gt;'Test de compensation'!$H$131,0,'Calculs détaillés'!Y29)</f>
        <v>0</v>
      </c>
      <c r="Z30" s="316">
        <f t="shared" si="20"/>
        <v>0</v>
      </c>
      <c r="AA30" s="306">
        <f t="shared" si="5"/>
        <v>0</v>
      </c>
      <c r="AB30" s="365">
        <f t="shared" si="21"/>
        <v>0</v>
      </c>
      <c r="AC30" s="362">
        <f t="shared" si="6"/>
        <v>24</v>
      </c>
      <c r="AD30" s="366">
        <f t="shared" si="22"/>
        <v>0.04</v>
      </c>
      <c r="AE30" s="306">
        <f>IF(AC30&gt;'Test de compensation'!$H$132,0,'Calculs détaillés'!AE29)</f>
        <v>0</v>
      </c>
      <c r="AF30" s="316">
        <f t="shared" si="23"/>
        <v>-4.8460017054760475E-12</v>
      </c>
      <c r="AG30" s="306">
        <f t="shared" si="7"/>
        <v>4.8460017054760475E-12</v>
      </c>
      <c r="AH30" s="306">
        <f t="shared" si="24"/>
        <v>-1.2599604434237724E-10</v>
      </c>
      <c r="AI30" s="367">
        <f t="shared" si="8"/>
        <v>127523.30331154956</v>
      </c>
      <c r="AJ30" s="368">
        <f>IF(A30&gt;'Test de compensation'!$D$142,0,AF30+Z30+N30+T30)</f>
        <v>11291.153795244449</v>
      </c>
      <c r="AK30" s="373">
        <v>0</v>
      </c>
      <c r="AL30" s="374">
        <v>0</v>
      </c>
      <c r="AM30" s="367"/>
      <c r="AN30" s="361"/>
      <c r="AO30" s="365">
        <v>0</v>
      </c>
      <c r="AP30" s="65">
        <v>0</v>
      </c>
      <c r="AQ30" s="367">
        <v>0</v>
      </c>
      <c r="AR30" s="367">
        <v>0</v>
      </c>
      <c r="AS30" s="371">
        <f t="shared" si="9"/>
        <v>0</v>
      </c>
      <c r="AT30" s="372">
        <f>IF(ROUND(AT29,0)&gt;0,AT29-PMT('Test de compensation'!$D$149,'Test de compensation'!$D$142,-'Test de compensation'!$D$124)+AU29,0)</f>
        <v>115262.11772641171</v>
      </c>
      <c r="AU30" s="372">
        <f>AT30*'Test de compensation'!$D$149</f>
        <v>4034.1741204244104</v>
      </c>
      <c r="AV30" s="367"/>
      <c r="AW30" s="367"/>
      <c r="AX30" s="306"/>
    </row>
    <row r="31" spans="1:50" ht="12.75" customHeight="1" x14ac:dyDescent="0.25">
      <c r="A31" s="358">
        <v>25</v>
      </c>
      <c r="B31" s="359">
        <f t="shared" si="10"/>
        <v>0.02</v>
      </c>
      <c r="C31" s="360">
        <f>IF(A31&gt;'Test de compensation'!$D$142,0,C30+(C30*B30))</f>
        <v>6341.9188117040212</v>
      </c>
      <c r="D31" s="306">
        <f>IF(A31&gt;'Test de compensation'!$D$87,0,'Calculs détaillés'!D30)</f>
        <v>0</v>
      </c>
      <c r="E31" s="306">
        <f t="shared" si="11"/>
        <v>-190.25756435112064</v>
      </c>
      <c r="F31" s="65">
        <v>0</v>
      </c>
      <c r="G31" s="65">
        <v>0</v>
      </c>
      <c r="H31" s="306">
        <f>IF(A31&gt;'Test de compensation'!$D$142,0,H30+H30*B30)</f>
        <v>1930.1246993702705</v>
      </c>
      <c r="I31" s="65">
        <v>0</v>
      </c>
      <c r="J31" s="361">
        <f t="shared" si="0"/>
        <v>8081.785946723171</v>
      </c>
      <c r="K31" s="362">
        <f t="shared" si="1"/>
        <v>25</v>
      </c>
      <c r="L31" s="366">
        <f t="shared" si="12"/>
        <v>2.1500000000000002E-2</v>
      </c>
      <c r="M31" s="306">
        <f>IF(A31&gt;'Test de compensation'!$H$129,0,'Calculs détaillés'!M30)</f>
        <v>104253.65752674981</v>
      </c>
      <c r="N31" s="316">
        <f t="shared" si="13"/>
        <v>2194.2766880324375</v>
      </c>
      <c r="O31" s="306">
        <f t="shared" si="2"/>
        <v>102059.38083871738</v>
      </c>
      <c r="P31" s="365">
        <f t="shared" si="14"/>
        <v>6.4028427004814148E-10</v>
      </c>
      <c r="Q31" s="362">
        <f t="shared" si="3"/>
        <v>25</v>
      </c>
      <c r="R31" s="153">
        <f t="shared" si="15"/>
        <v>0.03</v>
      </c>
      <c r="S31" s="306">
        <f>IF(Q31&gt;'Test de compensation'!$H$130,0,'Calculs détaillés'!S30)</f>
        <v>23269.645784799744</v>
      </c>
      <c r="T31" s="316">
        <f t="shared" si="16"/>
        <v>6459.1585709437131</v>
      </c>
      <c r="U31" s="306">
        <f t="shared" si="17"/>
        <v>16810.487213856031</v>
      </c>
      <c r="V31" s="365">
        <f t="shared" si="18"/>
        <v>198494.79848426773</v>
      </c>
      <c r="W31" s="362">
        <f t="shared" si="4"/>
        <v>25</v>
      </c>
      <c r="X31" s="153">
        <f t="shared" si="19"/>
        <v>2.5000000000000001E-3</v>
      </c>
      <c r="Y31" s="306">
        <f>IF(W31&gt;'Test de compensation'!$H$131,0,'Calculs détaillés'!Y30)</f>
        <v>0</v>
      </c>
      <c r="Z31" s="316">
        <f t="shared" si="20"/>
        <v>0</v>
      </c>
      <c r="AA31" s="306">
        <f t="shared" si="5"/>
        <v>0</v>
      </c>
      <c r="AB31" s="365">
        <f t="shared" si="21"/>
        <v>0</v>
      </c>
      <c r="AC31" s="362">
        <f t="shared" si="6"/>
        <v>25</v>
      </c>
      <c r="AD31" s="366">
        <f t="shared" si="22"/>
        <v>0.04</v>
      </c>
      <c r="AE31" s="306">
        <f>IF(AC31&gt;'Test de compensation'!$H$132,0,'Calculs détaillés'!AE30)</f>
        <v>0</v>
      </c>
      <c r="AF31" s="316">
        <f t="shared" si="23"/>
        <v>-5.0398417736950897E-12</v>
      </c>
      <c r="AG31" s="306">
        <f t="shared" si="7"/>
        <v>5.0398417736950897E-12</v>
      </c>
      <c r="AH31" s="306">
        <f t="shared" si="24"/>
        <v>-1.3103588611607232E-10</v>
      </c>
      <c r="AI31" s="367">
        <f t="shared" si="8"/>
        <v>127523.30331154956</v>
      </c>
      <c r="AJ31" s="368">
        <f>IF(A31&gt;'Test de compensation'!$D$142,0,AF31+Z31+N31+T31)</f>
        <v>8653.4352589761456</v>
      </c>
      <c r="AK31" s="373">
        <v>0</v>
      </c>
      <c r="AL31" s="374">
        <v>0</v>
      </c>
      <c r="AM31" s="367"/>
      <c r="AN31" s="361"/>
      <c r="AO31" s="365">
        <v>0</v>
      </c>
      <c r="AP31" s="65">
        <v>0</v>
      </c>
      <c r="AQ31" s="367">
        <v>0</v>
      </c>
      <c r="AR31" s="367">
        <v>0</v>
      </c>
      <c r="AS31" s="371">
        <f t="shared" si="9"/>
        <v>0</v>
      </c>
      <c r="AT31" s="372">
        <f>IF(ROUND(AT30,0)&gt;0,AT30-PMT('Test de compensation'!$D$149,'Test de compensation'!$D$142,-'Test de compensation'!$D$124)+AU30,0)</f>
        <v>58622.256435792282</v>
      </c>
      <c r="AU31" s="372">
        <f>AT31*'Test de compensation'!$D$149</f>
        <v>2051.7789752527301</v>
      </c>
      <c r="AV31" s="367"/>
      <c r="AW31" s="367"/>
      <c r="AX31" s="306"/>
    </row>
    <row r="32" spans="1:50" ht="12.75" customHeight="1" x14ac:dyDescent="0.25">
      <c r="A32" s="358">
        <v>26</v>
      </c>
      <c r="B32" s="375">
        <f t="shared" si="10"/>
        <v>0.02</v>
      </c>
      <c r="C32" s="360">
        <f>IF(A32&gt;'Test de compensation'!$D$142,0,C31+(C31*B31))</f>
        <v>0</v>
      </c>
      <c r="D32" s="306">
        <f>IF(A32&gt;'Test de compensation'!$D$87,0,'Calculs détaillés'!D31)</f>
        <v>0</v>
      </c>
      <c r="E32" s="306">
        <f t="shared" si="11"/>
        <v>0</v>
      </c>
      <c r="F32" s="65">
        <v>0</v>
      </c>
      <c r="G32" s="65">
        <v>0</v>
      </c>
      <c r="H32" s="306">
        <f>IF(A32&gt;'Test de compensation'!$D$142,0,H31+H31*B31)</f>
        <v>0</v>
      </c>
      <c r="I32" s="65">
        <v>0</v>
      </c>
      <c r="J32" s="361">
        <f t="shared" si="0"/>
        <v>0</v>
      </c>
      <c r="K32" s="362">
        <f t="shared" si="1"/>
        <v>26</v>
      </c>
      <c r="L32" s="366">
        <f t="shared" si="12"/>
        <v>2.1500000000000002E-2</v>
      </c>
      <c r="M32" s="306">
        <f>IF(A32&gt;'Test de compensation'!$H$129,0,'Calculs détaillés'!M31)</f>
        <v>0</v>
      </c>
      <c r="N32" s="316">
        <f t="shared" si="13"/>
        <v>1.3766111806035043E-11</v>
      </c>
      <c r="O32" s="306">
        <f t="shared" si="2"/>
        <v>-1.3766111806035043E-11</v>
      </c>
      <c r="P32" s="365">
        <f t="shared" si="14"/>
        <v>6.5405038185417649E-10</v>
      </c>
      <c r="Q32" s="362">
        <f t="shared" si="3"/>
        <v>26</v>
      </c>
      <c r="R32" s="153">
        <f t="shared" si="15"/>
        <v>0.03</v>
      </c>
      <c r="S32" s="306">
        <f>IF(Q32&gt;'Test de compensation'!$H$130,0,'Calculs détaillés'!S31)</f>
        <v>23269.645784799744</v>
      </c>
      <c r="T32" s="316">
        <f t="shared" si="16"/>
        <v>5954.8439545280316</v>
      </c>
      <c r="U32" s="306">
        <f t="shared" si="17"/>
        <v>17314.801830271714</v>
      </c>
      <c r="V32" s="365">
        <f t="shared" si="18"/>
        <v>181179.996653996</v>
      </c>
      <c r="W32" s="362">
        <f t="shared" si="4"/>
        <v>26</v>
      </c>
      <c r="X32" s="153">
        <f t="shared" si="19"/>
        <v>2.5000000000000001E-3</v>
      </c>
      <c r="Y32" s="306">
        <f>IF(W32&gt;'Test de compensation'!$H$131,0,'Calculs détaillés'!Y31)</f>
        <v>0</v>
      </c>
      <c r="Z32" s="316">
        <f t="shared" si="20"/>
        <v>0</v>
      </c>
      <c r="AA32" s="306">
        <f t="shared" si="5"/>
        <v>0</v>
      </c>
      <c r="AB32" s="365">
        <f t="shared" si="21"/>
        <v>0</v>
      </c>
      <c r="AC32" s="362">
        <f t="shared" si="6"/>
        <v>26</v>
      </c>
      <c r="AD32" s="366">
        <f t="shared" si="22"/>
        <v>0.04</v>
      </c>
      <c r="AE32" s="306">
        <f>IF(AC32&gt;'Test de compensation'!$H$132,0,'Calculs détaillés'!AE31)</f>
        <v>0</v>
      </c>
      <c r="AF32" s="316">
        <f t="shared" si="23"/>
        <v>-5.2414354446428925E-12</v>
      </c>
      <c r="AG32" s="306">
        <f t="shared" si="7"/>
        <v>5.2414354446428925E-12</v>
      </c>
      <c r="AH32" s="306">
        <f t="shared" si="24"/>
        <v>-1.362773215607152E-10</v>
      </c>
      <c r="AI32" s="367">
        <f t="shared" si="8"/>
        <v>23269.645784799744</v>
      </c>
      <c r="AJ32" s="368">
        <f>IF(A32&gt;'Test de compensation'!$D$142,0,AF32+Z32+N32+T32)</f>
        <v>0</v>
      </c>
      <c r="AK32" s="373">
        <v>0</v>
      </c>
      <c r="AL32" s="367">
        <v>0</v>
      </c>
      <c r="AM32" s="367"/>
      <c r="AN32" s="361"/>
      <c r="AO32" s="365">
        <v>0</v>
      </c>
      <c r="AP32" s="365">
        <v>0</v>
      </c>
      <c r="AQ32" s="365">
        <v>0</v>
      </c>
      <c r="AR32" s="365">
        <v>0</v>
      </c>
      <c r="AS32" s="371">
        <f t="shared" si="9"/>
        <v>0</v>
      </c>
      <c r="AT32" s="372">
        <f>IF(ROUND(AT31,0)&gt;0,AT31-PMT('Test de compensation'!$D$149,'Test de compensation'!$D$142,-'Test de compensation'!$D$124)+AU31,0)</f>
        <v>1.1700649338308722E-9</v>
      </c>
      <c r="AU32" s="372">
        <f>AT32*'Test de compensation'!$D$149</f>
        <v>4.0952272684080529E-11</v>
      </c>
      <c r="AV32" s="367"/>
      <c r="AW32" s="367"/>
      <c r="AX32" s="306" t="s">
        <v>4</v>
      </c>
    </row>
    <row r="33" spans="1:50" ht="12.75" customHeight="1" x14ac:dyDescent="0.25">
      <c r="A33" s="358">
        <v>27</v>
      </c>
      <c r="B33" s="375">
        <f t="shared" si="10"/>
        <v>0.02</v>
      </c>
      <c r="C33" s="360">
        <f>IF(A33&gt;'Test de compensation'!$D$142,0,C32+(C32*B32))</f>
        <v>0</v>
      </c>
      <c r="D33" s="306">
        <f>IF(A33&gt;'Test de compensation'!$D$87,0,'Calculs détaillés'!D32)</f>
        <v>0</v>
      </c>
      <c r="E33" s="306">
        <f t="shared" si="11"/>
        <v>0</v>
      </c>
      <c r="F33" s="65">
        <v>0</v>
      </c>
      <c r="G33" s="65">
        <v>0</v>
      </c>
      <c r="H33" s="306">
        <f>IF(A33&gt;'Test de compensation'!$D$142,0,H32+H32*B32)</f>
        <v>0</v>
      </c>
      <c r="I33" s="65">
        <v>0</v>
      </c>
      <c r="J33" s="361">
        <f t="shared" si="0"/>
        <v>0</v>
      </c>
      <c r="K33" s="362">
        <f t="shared" si="1"/>
        <v>27</v>
      </c>
      <c r="L33" s="366">
        <f t="shared" si="12"/>
        <v>2.1500000000000002E-2</v>
      </c>
      <c r="M33" s="306">
        <f>IF(A33&gt;'Test de compensation'!$H$129,0,'Calculs détaillés'!M32)</f>
        <v>0</v>
      </c>
      <c r="N33" s="316">
        <f t="shared" si="13"/>
        <v>1.4062083209864796E-11</v>
      </c>
      <c r="O33" s="306">
        <f t="shared" si="2"/>
        <v>-1.4062083209864796E-11</v>
      </c>
      <c r="P33" s="365">
        <f t="shared" si="14"/>
        <v>6.6811246506404126E-10</v>
      </c>
      <c r="Q33" s="362">
        <f t="shared" si="3"/>
        <v>27</v>
      </c>
      <c r="R33" s="153">
        <f t="shared" si="15"/>
        <v>0.03</v>
      </c>
      <c r="S33" s="306">
        <f>IF(Q33&gt;'Test de compensation'!$H$130,0,'Calculs détaillés'!S32)</f>
        <v>23269.645784799744</v>
      </c>
      <c r="T33" s="316">
        <f t="shared" si="16"/>
        <v>5435.3998996198798</v>
      </c>
      <c r="U33" s="306">
        <f t="shared" si="17"/>
        <v>17834.245885179866</v>
      </c>
      <c r="V33" s="365">
        <f t="shared" si="18"/>
        <v>163345.75076881613</v>
      </c>
      <c r="W33" s="362">
        <f t="shared" si="4"/>
        <v>27</v>
      </c>
      <c r="X33" s="153">
        <f t="shared" si="19"/>
        <v>2.5000000000000001E-3</v>
      </c>
      <c r="Y33" s="306">
        <f>IF(W33&gt;'Test de compensation'!$H$131,0,'Calculs détaillés'!Y32)</f>
        <v>0</v>
      </c>
      <c r="Z33" s="316">
        <f t="shared" si="20"/>
        <v>0</v>
      </c>
      <c r="AA33" s="306">
        <f t="shared" si="5"/>
        <v>0</v>
      </c>
      <c r="AB33" s="365">
        <f t="shared" si="21"/>
        <v>0</v>
      </c>
      <c r="AC33" s="362">
        <f t="shared" si="6"/>
        <v>27</v>
      </c>
      <c r="AD33" s="366">
        <f t="shared" si="22"/>
        <v>0.04</v>
      </c>
      <c r="AE33" s="306">
        <f>IF(AC33&gt;'Test de compensation'!$H$132,0,'Calculs détaillés'!AE32)</f>
        <v>0</v>
      </c>
      <c r="AF33" s="316">
        <f t="shared" si="23"/>
        <v>-5.451092862428608E-12</v>
      </c>
      <c r="AG33" s="306">
        <f t="shared" si="7"/>
        <v>5.451092862428608E-12</v>
      </c>
      <c r="AH33" s="306">
        <f t="shared" si="24"/>
        <v>-1.4172841442314382E-10</v>
      </c>
      <c r="AI33" s="367">
        <f t="shared" si="8"/>
        <v>23269.645784799744</v>
      </c>
      <c r="AJ33" s="368">
        <f>IF(A33&gt;'Test de compensation'!$D$142,0,AF33+Z33+N33+T33)</f>
        <v>0</v>
      </c>
      <c r="AK33" s="373">
        <v>0</v>
      </c>
      <c r="AL33" s="367">
        <v>0</v>
      </c>
      <c r="AM33" s="367"/>
      <c r="AN33" s="361"/>
      <c r="AO33" s="365">
        <v>0</v>
      </c>
      <c r="AP33" s="365">
        <v>0</v>
      </c>
      <c r="AQ33" s="365">
        <v>0</v>
      </c>
      <c r="AR33" s="365">
        <v>0</v>
      </c>
      <c r="AS33" s="371">
        <f t="shared" si="9"/>
        <v>0</v>
      </c>
      <c r="AT33" s="372">
        <f>IF(ROUND(AT32,0)&gt;0,AT32-PMT('Test de compensation'!$D$149,'Test de compensation'!$D$142,-'Test de compensation'!$D$124)+AU32,0)</f>
        <v>0</v>
      </c>
      <c r="AU33" s="372">
        <f>AT33*'Test de compensation'!$D$149</f>
        <v>0</v>
      </c>
      <c r="AV33" s="367"/>
      <c r="AW33" s="367"/>
      <c r="AX33" s="306" t="s">
        <v>4</v>
      </c>
    </row>
    <row r="34" spans="1:50" ht="12.75" customHeight="1" x14ac:dyDescent="0.25">
      <c r="A34" s="358">
        <v>28</v>
      </c>
      <c r="B34" s="375">
        <f t="shared" si="10"/>
        <v>0.02</v>
      </c>
      <c r="C34" s="360">
        <f>IF(A34&gt;'Test de compensation'!$D$142,0,C33+(C33*B33))</f>
        <v>0</v>
      </c>
      <c r="D34" s="306">
        <f>IF(A34&gt;'Test de compensation'!$D$87,0,'Calculs détaillés'!D33)</f>
        <v>0</v>
      </c>
      <c r="E34" s="306">
        <f t="shared" si="11"/>
        <v>0</v>
      </c>
      <c r="F34" s="65">
        <v>0</v>
      </c>
      <c r="G34" s="65">
        <v>0</v>
      </c>
      <c r="H34" s="306">
        <f>IF(A34&gt;'Test de compensation'!$D$142,0,H33+H33*B33)</f>
        <v>0</v>
      </c>
      <c r="I34" s="65">
        <v>0</v>
      </c>
      <c r="J34" s="361">
        <f t="shared" si="0"/>
        <v>0</v>
      </c>
      <c r="K34" s="362">
        <f t="shared" si="1"/>
        <v>28</v>
      </c>
      <c r="L34" s="366">
        <f t="shared" si="12"/>
        <v>2.1500000000000002E-2</v>
      </c>
      <c r="M34" s="306">
        <f>IF(A34&gt;'Test de compensation'!$H$129,0,'Calculs détaillés'!M33)</f>
        <v>0</v>
      </c>
      <c r="N34" s="316">
        <f t="shared" si="13"/>
        <v>1.4364417998876888E-11</v>
      </c>
      <c r="O34" s="306">
        <f t="shared" si="2"/>
        <v>-1.4364417998876888E-11</v>
      </c>
      <c r="P34" s="365">
        <f t="shared" si="14"/>
        <v>6.8247688306291814E-10</v>
      </c>
      <c r="Q34" s="362">
        <f t="shared" si="3"/>
        <v>28</v>
      </c>
      <c r="R34" s="153">
        <f t="shared" si="15"/>
        <v>0.03</v>
      </c>
      <c r="S34" s="306">
        <f>IF(Q34&gt;'Test de compensation'!$H$130,0,'Calculs détaillés'!S33)</f>
        <v>23269.645784799744</v>
      </c>
      <c r="T34" s="316">
        <f t="shared" si="16"/>
        <v>4900.3725230644841</v>
      </c>
      <c r="U34" s="306">
        <f t="shared" si="17"/>
        <v>18369.273261735259</v>
      </c>
      <c r="V34" s="365">
        <f t="shared" si="18"/>
        <v>144976.47750708088</v>
      </c>
      <c r="W34" s="362">
        <f t="shared" si="4"/>
        <v>28</v>
      </c>
      <c r="X34" s="153">
        <f t="shared" si="19"/>
        <v>2.5000000000000001E-3</v>
      </c>
      <c r="Y34" s="306">
        <f>IF(W34&gt;'Test de compensation'!$H$131,0,'Calculs détaillés'!Y33)</f>
        <v>0</v>
      </c>
      <c r="Z34" s="316">
        <f t="shared" si="20"/>
        <v>0</v>
      </c>
      <c r="AA34" s="306">
        <f t="shared" si="5"/>
        <v>0</v>
      </c>
      <c r="AB34" s="365">
        <f t="shared" si="21"/>
        <v>0</v>
      </c>
      <c r="AC34" s="362">
        <f t="shared" si="6"/>
        <v>28</v>
      </c>
      <c r="AD34" s="366">
        <f t="shared" si="22"/>
        <v>0.04</v>
      </c>
      <c r="AE34" s="306">
        <f>IF(AC34&gt;'Test de compensation'!$H$132,0,'Calculs détaillés'!AE33)</f>
        <v>0</v>
      </c>
      <c r="AF34" s="316">
        <f t="shared" si="23"/>
        <v>-5.6691365769257531E-12</v>
      </c>
      <c r="AG34" s="306">
        <f t="shared" si="7"/>
        <v>5.6691365769257531E-12</v>
      </c>
      <c r="AH34" s="306">
        <f t="shared" si="24"/>
        <v>-1.4739755100006958E-10</v>
      </c>
      <c r="AI34" s="367">
        <f t="shared" si="8"/>
        <v>23269.645784799744</v>
      </c>
      <c r="AJ34" s="368">
        <f>IF(A34&gt;'Test de compensation'!$D$142,0,AF34+Z34+N34+T34)</f>
        <v>0</v>
      </c>
      <c r="AK34" s="373">
        <v>0</v>
      </c>
      <c r="AL34" s="367">
        <v>0</v>
      </c>
      <c r="AM34" s="367"/>
      <c r="AN34" s="361"/>
      <c r="AO34" s="365">
        <v>0</v>
      </c>
      <c r="AP34" s="365">
        <v>0</v>
      </c>
      <c r="AQ34" s="365">
        <v>0</v>
      </c>
      <c r="AR34" s="365">
        <v>0</v>
      </c>
      <c r="AS34" s="371">
        <f t="shared" si="9"/>
        <v>0</v>
      </c>
      <c r="AT34" s="372">
        <f>IF(ROUND(AT33,0)&gt;0,AT33-PMT('Test de compensation'!$D$149,'Test de compensation'!$D$142,-'Test de compensation'!$D$124)+AU33,0)</f>
        <v>0</v>
      </c>
      <c r="AU34" s="372">
        <f>AT34*'Test de compensation'!$D$149</f>
        <v>0</v>
      </c>
      <c r="AV34" s="367"/>
      <c r="AW34" s="367"/>
      <c r="AX34" s="306" t="s">
        <v>4</v>
      </c>
    </row>
    <row r="35" spans="1:50" ht="12.75" customHeight="1" x14ac:dyDescent="0.25">
      <c r="A35" s="358">
        <v>29</v>
      </c>
      <c r="B35" s="375">
        <f t="shared" si="10"/>
        <v>0.02</v>
      </c>
      <c r="C35" s="360">
        <f>IF(A35&gt;'Test de compensation'!$D$142,0,C34+(C34*B34))</f>
        <v>0</v>
      </c>
      <c r="D35" s="306">
        <f>IF(A35&gt;'Test de compensation'!$D$87,0,'Calculs détaillés'!D34)</f>
        <v>0</v>
      </c>
      <c r="E35" s="306">
        <f t="shared" si="11"/>
        <v>0</v>
      </c>
      <c r="F35" s="65">
        <v>0</v>
      </c>
      <c r="G35" s="65">
        <v>0</v>
      </c>
      <c r="H35" s="306">
        <f>IF(A35&gt;'Test de compensation'!$D$142,0,H34+H34*B34)</f>
        <v>0</v>
      </c>
      <c r="I35" s="65">
        <v>0</v>
      </c>
      <c r="J35" s="361">
        <f t="shared" si="0"/>
        <v>0</v>
      </c>
      <c r="K35" s="362">
        <f t="shared" si="1"/>
        <v>29</v>
      </c>
      <c r="L35" s="366">
        <f t="shared" si="12"/>
        <v>2.1500000000000002E-2</v>
      </c>
      <c r="M35" s="306">
        <f>IF(A35&gt;'Test de compensation'!$H$129,0,'Calculs détaillés'!M34)</f>
        <v>0</v>
      </c>
      <c r="N35" s="316">
        <f t="shared" si="13"/>
        <v>1.467325298585274E-11</v>
      </c>
      <c r="O35" s="306">
        <f t="shared" si="2"/>
        <v>-1.467325298585274E-11</v>
      </c>
      <c r="P35" s="365">
        <f t="shared" si="14"/>
        <v>6.9715013604877092E-10</v>
      </c>
      <c r="Q35" s="362">
        <f t="shared" si="3"/>
        <v>29</v>
      </c>
      <c r="R35" s="153">
        <f t="shared" si="15"/>
        <v>0.03</v>
      </c>
      <c r="S35" s="306">
        <f>IF(Q35&gt;'Test de compensation'!$H$130,0,'Calculs détaillés'!S34)</f>
        <v>23269.645784799744</v>
      </c>
      <c r="T35" s="316">
        <f t="shared" si="16"/>
        <v>4349.294325212426</v>
      </c>
      <c r="U35" s="306">
        <f t="shared" si="17"/>
        <v>18920.35145958732</v>
      </c>
      <c r="V35" s="365">
        <f t="shared" si="18"/>
        <v>126056.12604749357</v>
      </c>
      <c r="W35" s="362">
        <f t="shared" si="4"/>
        <v>29</v>
      </c>
      <c r="X35" s="153">
        <f t="shared" si="19"/>
        <v>2.5000000000000001E-3</v>
      </c>
      <c r="Y35" s="306">
        <f>IF(W35&gt;'Test de compensation'!$H$131,0,'Calculs détaillés'!Y34)</f>
        <v>0</v>
      </c>
      <c r="Z35" s="316">
        <f t="shared" si="20"/>
        <v>0</v>
      </c>
      <c r="AA35" s="306">
        <f t="shared" si="5"/>
        <v>0</v>
      </c>
      <c r="AB35" s="365">
        <f t="shared" si="21"/>
        <v>0</v>
      </c>
      <c r="AC35" s="362">
        <f t="shared" si="6"/>
        <v>29</v>
      </c>
      <c r="AD35" s="366">
        <f t="shared" si="22"/>
        <v>0.04</v>
      </c>
      <c r="AE35" s="306">
        <f>IF(AC35&gt;'Test de compensation'!$H$132,0,'Calculs détaillés'!AE34)</f>
        <v>0</v>
      </c>
      <c r="AF35" s="316">
        <f t="shared" si="23"/>
        <v>-5.8959020400027831E-12</v>
      </c>
      <c r="AG35" s="306">
        <f t="shared" si="7"/>
        <v>5.8959020400027831E-12</v>
      </c>
      <c r="AH35" s="306">
        <f t="shared" si="24"/>
        <v>-1.5329345304007237E-10</v>
      </c>
      <c r="AI35" s="367">
        <f>M35+S35+Y35+AE35</f>
        <v>23269.645784799744</v>
      </c>
      <c r="AJ35" s="368">
        <f>IF(A35&gt;'Test de compensation'!$D$142,0,AF35+Z35+N35+T35)</f>
        <v>0</v>
      </c>
      <c r="AK35" s="373">
        <v>0</v>
      </c>
      <c r="AL35" s="367">
        <v>0</v>
      </c>
      <c r="AM35" s="367"/>
      <c r="AN35" s="361"/>
      <c r="AO35" s="365">
        <v>0</v>
      </c>
      <c r="AP35" s="365">
        <v>0</v>
      </c>
      <c r="AQ35" s="365">
        <v>0</v>
      </c>
      <c r="AR35" s="365">
        <v>0</v>
      </c>
      <c r="AS35" s="371">
        <f t="shared" si="9"/>
        <v>0</v>
      </c>
      <c r="AT35" s="372">
        <f>IF(ROUND(AT34,0)&gt;0,AT34-PMT('Test de compensation'!$D$149,'Test de compensation'!$D$142,-'Test de compensation'!$D$124)+AU34,0)</f>
        <v>0</v>
      </c>
      <c r="AU35" s="372">
        <f>AT35*'Test de compensation'!$D$149</f>
        <v>0</v>
      </c>
      <c r="AV35" s="367"/>
      <c r="AW35" s="367"/>
      <c r="AX35" s="306" t="s">
        <v>4</v>
      </c>
    </row>
    <row r="36" spans="1:50" ht="12.75" customHeight="1" x14ac:dyDescent="0.25">
      <c r="A36" s="358">
        <v>30</v>
      </c>
      <c r="B36" s="375">
        <f t="shared" si="10"/>
        <v>0.02</v>
      </c>
      <c r="C36" s="360">
        <f>IF(A36&gt;'Test de compensation'!$D$142,0,C35+(C35*B35))</f>
        <v>0</v>
      </c>
      <c r="D36" s="306">
        <f>IF(A36&gt;'Test de compensation'!$D$87,0,'Calculs détaillés'!D35)</f>
        <v>0</v>
      </c>
      <c r="E36" s="306">
        <f t="shared" si="11"/>
        <v>0</v>
      </c>
      <c r="F36" s="65">
        <v>0</v>
      </c>
      <c r="G36" s="65">
        <v>0</v>
      </c>
      <c r="H36" s="306">
        <f>IF(A36&gt;'Test de compensation'!$D$142,0,H35+H35*B35)</f>
        <v>0</v>
      </c>
      <c r="I36" s="65">
        <v>0</v>
      </c>
      <c r="J36" s="361">
        <f t="shared" si="0"/>
        <v>0</v>
      </c>
      <c r="K36" s="362">
        <f t="shared" si="1"/>
        <v>30</v>
      </c>
      <c r="L36" s="366">
        <f t="shared" si="12"/>
        <v>2.1500000000000002E-2</v>
      </c>
      <c r="M36" s="306">
        <f>IF(A36&gt;'Test de compensation'!$H$129,0,'Calculs détaillés'!M35)</f>
        <v>0</v>
      </c>
      <c r="N36" s="316">
        <f t="shared" si="13"/>
        <v>1.4988727925048577E-11</v>
      </c>
      <c r="O36" s="306">
        <f t="shared" si="2"/>
        <v>-1.4988727925048577E-11</v>
      </c>
      <c r="P36" s="365">
        <f t="shared" si="14"/>
        <v>7.1213886397381947E-10</v>
      </c>
      <c r="Q36" s="362">
        <f t="shared" si="3"/>
        <v>30</v>
      </c>
      <c r="R36" s="153">
        <f t="shared" si="15"/>
        <v>0.03</v>
      </c>
      <c r="S36" s="306">
        <f>IF(Q36&gt;'Test de compensation'!$H$130,0,'Calculs détaillés'!S35)</f>
        <v>23269.645784799744</v>
      </c>
      <c r="T36" s="316">
        <f t="shared" si="16"/>
        <v>3781.683781424807</v>
      </c>
      <c r="U36" s="306">
        <f t="shared" si="17"/>
        <v>19487.962003374938</v>
      </c>
      <c r="V36" s="365">
        <f t="shared" si="18"/>
        <v>106568.16404411863</v>
      </c>
      <c r="W36" s="362">
        <f t="shared" si="4"/>
        <v>30</v>
      </c>
      <c r="X36" s="153">
        <f t="shared" si="19"/>
        <v>2.5000000000000001E-3</v>
      </c>
      <c r="Y36" s="306">
        <f>IF(W36&gt;'Test de compensation'!$H$131,0,'Calculs détaillés'!Y35)</f>
        <v>0</v>
      </c>
      <c r="Z36" s="316">
        <f t="shared" si="20"/>
        <v>0</v>
      </c>
      <c r="AA36" s="306">
        <f t="shared" si="5"/>
        <v>0</v>
      </c>
      <c r="AB36" s="365">
        <f t="shared" si="21"/>
        <v>0</v>
      </c>
      <c r="AC36" s="362">
        <f t="shared" si="6"/>
        <v>30</v>
      </c>
      <c r="AD36" s="366">
        <f t="shared" si="22"/>
        <v>0.04</v>
      </c>
      <c r="AE36" s="306">
        <f>IF(AC36&gt;'Test de compensation'!$H$132,0,'Calculs détaillés'!AE35)</f>
        <v>0</v>
      </c>
      <c r="AF36" s="316">
        <f t="shared" si="23"/>
        <v>-6.1317381216028953E-12</v>
      </c>
      <c r="AG36" s="306">
        <f t="shared" si="7"/>
        <v>6.1317381216028953E-12</v>
      </c>
      <c r="AH36" s="306">
        <f t="shared" si="24"/>
        <v>-1.5942519116167525E-10</v>
      </c>
      <c r="AI36" s="367">
        <f t="shared" si="8"/>
        <v>23269.645784799744</v>
      </c>
      <c r="AJ36" s="368">
        <f>IF(A36&gt;'Test de compensation'!$D$142,0,AF36+Z36+N36+T36)</f>
        <v>0</v>
      </c>
      <c r="AK36" s="373">
        <v>0</v>
      </c>
      <c r="AL36" s="367">
        <v>0</v>
      </c>
      <c r="AM36" s="367"/>
      <c r="AN36" s="361"/>
      <c r="AO36" s="365">
        <v>0</v>
      </c>
      <c r="AP36" s="365">
        <v>0</v>
      </c>
      <c r="AQ36" s="365">
        <v>0</v>
      </c>
      <c r="AR36" s="365">
        <v>0</v>
      </c>
      <c r="AS36" s="371">
        <f t="shared" si="9"/>
        <v>0</v>
      </c>
      <c r="AT36" s="372">
        <f>IF(ROUND(AT35,0)&gt;0,AT35-PMT('Test de compensation'!$D$149,'Test de compensation'!$D$142,-'Test de compensation'!$D$124)+AU35,0)</f>
        <v>0</v>
      </c>
      <c r="AU36" s="372">
        <f>AT36*'Test de compensation'!$D$149</f>
        <v>0</v>
      </c>
      <c r="AV36" s="367"/>
      <c r="AW36" s="367"/>
      <c r="AX36" s="306" t="s">
        <v>4</v>
      </c>
    </row>
    <row r="37" spans="1:50" ht="12.75" customHeight="1" x14ac:dyDescent="0.25">
      <c r="A37" s="358">
        <v>31</v>
      </c>
      <c r="B37" s="375">
        <f t="shared" si="10"/>
        <v>0.02</v>
      </c>
      <c r="C37" s="360">
        <f>IF(A37&gt;'Test de compensation'!$D$142,0,C36+(C36*B36))</f>
        <v>0</v>
      </c>
      <c r="D37" s="306">
        <f>IF(A37&gt;'Test de compensation'!$D$87,0,'Calculs détaillés'!D36)</f>
        <v>0</v>
      </c>
      <c r="E37" s="306">
        <f t="shared" si="11"/>
        <v>0</v>
      </c>
      <c r="F37" s="65">
        <v>0</v>
      </c>
      <c r="G37" s="65">
        <v>0</v>
      </c>
      <c r="H37" s="306">
        <f>IF(A37&gt;'Test de compensation'!$D$142,0,H36+H36*B36)</f>
        <v>0</v>
      </c>
      <c r="I37" s="65">
        <v>0</v>
      </c>
      <c r="J37" s="361">
        <f t="shared" si="0"/>
        <v>0</v>
      </c>
      <c r="K37" s="362">
        <f t="shared" si="1"/>
        <v>31</v>
      </c>
      <c r="L37" s="366">
        <f t="shared" si="12"/>
        <v>2.1500000000000002E-2</v>
      </c>
      <c r="M37" s="306">
        <f>IF(A37&gt;'Test de compensation'!$H$129,0,'Calculs détaillés'!M36)</f>
        <v>0</v>
      </c>
      <c r="N37" s="316">
        <f t="shared" si="13"/>
        <v>1.5310985575437121E-11</v>
      </c>
      <c r="O37" s="306">
        <f t="shared" si="2"/>
        <v>-1.5310985575437121E-11</v>
      </c>
      <c r="P37" s="365">
        <f t="shared" si="14"/>
        <v>7.2744984954925663E-10</v>
      </c>
      <c r="Q37" s="362">
        <f t="shared" si="3"/>
        <v>31</v>
      </c>
      <c r="R37" s="153">
        <f t="shared" si="15"/>
        <v>0.03</v>
      </c>
      <c r="S37" s="306">
        <f>IF(Q37&gt;'Test de compensation'!$H$130,0,'Calculs détaillés'!S36)</f>
        <v>23269.645784799744</v>
      </c>
      <c r="T37" s="316">
        <f t="shared" si="16"/>
        <v>3197.0449213235588</v>
      </c>
      <c r="U37" s="306">
        <f t="shared" si="17"/>
        <v>20072.600863476186</v>
      </c>
      <c r="V37" s="365">
        <f>V36-U37</f>
        <v>86495.56318064245</v>
      </c>
      <c r="W37" s="362">
        <f t="shared" si="4"/>
        <v>31</v>
      </c>
      <c r="X37" s="153">
        <f t="shared" si="19"/>
        <v>2.5000000000000001E-3</v>
      </c>
      <c r="Y37" s="306">
        <f>IF(W37&gt;'Test de compensation'!$H$131,0,'Calculs détaillés'!Y36)</f>
        <v>0</v>
      </c>
      <c r="Z37" s="316">
        <f t="shared" si="20"/>
        <v>0</v>
      </c>
      <c r="AA37" s="306">
        <f t="shared" si="5"/>
        <v>0</v>
      </c>
      <c r="AB37" s="365">
        <f t="shared" si="21"/>
        <v>0</v>
      </c>
      <c r="AC37" s="362">
        <f t="shared" si="6"/>
        <v>31</v>
      </c>
      <c r="AD37" s="366">
        <f t="shared" si="22"/>
        <v>0.04</v>
      </c>
      <c r="AE37" s="306">
        <f>IF(AC37&gt;'Test de compensation'!$H$132,0,'Calculs détaillés'!AE36)</f>
        <v>0</v>
      </c>
      <c r="AF37" s="316">
        <f t="shared" si="23"/>
        <v>-6.3770076464670102E-12</v>
      </c>
      <c r="AG37" s="306">
        <f t="shared" si="7"/>
        <v>6.3770076464670102E-12</v>
      </c>
      <c r="AH37" s="306">
        <f t="shared" si="24"/>
        <v>-1.6580219880814225E-10</v>
      </c>
      <c r="AI37" s="367">
        <f t="shared" si="8"/>
        <v>23269.645784799744</v>
      </c>
      <c r="AJ37" s="368">
        <f>IF(A37&gt;'Test de compensation'!$D$142,0,AF37+Z37+N37+T37)</f>
        <v>0</v>
      </c>
      <c r="AK37" s="373">
        <v>0</v>
      </c>
      <c r="AL37" s="367">
        <v>0</v>
      </c>
      <c r="AM37" s="367"/>
      <c r="AN37" s="361"/>
      <c r="AO37" s="365">
        <v>0</v>
      </c>
      <c r="AP37" s="365">
        <v>0</v>
      </c>
      <c r="AQ37" s="365">
        <v>0</v>
      </c>
      <c r="AR37" s="365">
        <v>0</v>
      </c>
      <c r="AS37" s="371">
        <f t="shared" si="9"/>
        <v>0</v>
      </c>
      <c r="AT37" s="372">
        <f>IF(ROUND(AT36,0)&gt;0,AT36-PMT('Test de compensation'!$D$149,'Test de compensation'!$D$142,-'Test de compensation'!$D$124)+AU36,0)</f>
        <v>0</v>
      </c>
      <c r="AU37" s="372">
        <f>AT37*'Test de compensation'!$D$149</f>
        <v>0</v>
      </c>
      <c r="AV37" s="367"/>
      <c r="AW37" s="367"/>
      <c r="AX37" s="306" t="s">
        <v>4</v>
      </c>
    </row>
    <row r="38" spans="1:50" ht="12.75" customHeight="1" x14ac:dyDescent="0.25">
      <c r="A38" s="358">
        <v>32</v>
      </c>
      <c r="B38" s="375">
        <f t="shared" si="10"/>
        <v>0.02</v>
      </c>
      <c r="C38" s="360">
        <f>IF(A38&gt;'Test de compensation'!$D$142,0,C37+(C37*B37))</f>
        <v>0</v>
      </c>
      <c r="D38" s="306">
        <f>IF(A38&gt;'Test de compensation'!$D$87,0,'Calculs détaillés'!D37)</f>
        <v>0</v>
      </c>
      <c r="E38" s="306">
        <f t="shared" si="11"/>
        <v>0</v>
      </c>
      <c r="F38" s="65">
        <v>0</v>
      </c>
      <c r="G38" s="65">
        <v>0</v>
      </c>
      <c r="H38" s="306">
        <f>IF(A38&gt;'Test de compensation'!$D$142,0,H37+H37*B37)</f>
        <v>0</v>
      </c>
      <c r="I38" s="65">
        <v>0</v>
      </c>
      <c r="J38" s="361">
        <f t="shared" si="0"/>
        <v>0</v>
      </c>
      <c r="K38" s="362">
        <f t="shared" si="1"/>
        <v>32</v>
      </c>
      <c r="L38" s="366">
        <f t="shared" si="12"/>
        <v>2.1500000000000002E-2</v>
      </c>
      <c r="M38" s="306">
        <f>IF(A38&gt;'Test de compensation'!$H$129,0,'Calculs détaillés'!M37)</f>
        <v>0</v>
      </c>
      <c r="N38" s="316">
        <f t="shared" si="13"/>
        <v>1.564017176530902E-11</v>
      </c>
      <c r="O38" s="306">
        <f t="shared" si="2"/>
        <v>-1.564017176530902E-11</v>
      </c>
      <c r="P38" s="365">
        <f t="shared" si="14"/>
        <v>7.4309002131456562E-10</v>
      </c>
      <c r="Q38" s="362">
        <f t="shared" si="3"/>
        <v>32</v>
      </c>
      <c r="R38" s="153">
        <f t="shared" si="15"/>
        <v>0.03</v>
      </c>
      <c r="S38" s="306">
        <f>IF(Q38&gt;'Test de compensation'!$H$130,0,'Calculs détaillés'!S37)</f>
        <v>23269.645784799744</v>
      </c>
      <c r="T38" s="316">
        <f t="shared" si="16"/>
        <v>2594.8668954192735</v>
      </c>
      <c r="U38" s="306">
        <f>S38-T38</f>
        <v>20674.778889380472</v>
      </c>
      <c r="V38" s="365">
        <f t="shared" si="18"/>
        <v>65820.784291261982</v>
      </c>
      <c r="W38" s="362">
        <f t="shared" si="4"/>
        <v>32</v>
      </c>
      <c r="X38" s="153">
        <f t="shared" si="19"/>
        <v>2.5000000000000001E-3</v>
      </c>
      <c r="Y38" s="306">
        <f>IF(W38&gt;'Test de compensation'!$H$131,0,'Calculs détaillés'!Y37)</f>
        <v>0</v>
      </c>
      <c r="Z38" s="316">
        <f t="shared" si="20"/>
        <v>0</v>
      </c>
      <c r="AA38" s="306">
        <f t="shared" si="5"/>
        <v>0</v>
      </c>
      <c r="AB38" s="365">
        <f t="shared" si="21"/>
        <v>0</v>
      </c>
      <c r="AC38" s="362">
        <f t="shared" si="6"/>
        <v>32</v>
      </c>
      <c r="AD38" s="366">
        <f t="shared" si="22"/>
        <v>0.04</v>
      </c>
      <c r="AE38" s="306">
        <f>IF(AC38&gt;'Test de compensation'!$H$132,0,'Calculs détaillés'!AE37)</f>
        <v>0</v>
      </c>
      <c r="AF38" s="316">
        <f t="shared" si="23"/>
        <v>-6.6320879523256901E-12</v>
      </c>
      <c r="AG38" s="306">
        <f t="shared" si="7"/>
        <v>6.6320879523256901E-12</v>
      </c>
      <c r="AH38" s="306">
        <f t="shared" si="24"/>
        <v>-1.7243428676046795E-10</v>
      </c>
      <c r="AI38" s="367">
        <f t="shared" si="8"/>
        <v>23269.645784799744</v>
      </c>
      <c r="AJ38" s="368">
        <f>IF(A38&gt;'Test de compensation'!$D$142,0,AF38+Z38+N38+T38)</f>
        <v>0</v>
      </c>
      <c r="AK38" s="373">
        <v>0</v>
      </c>
      <c r="AL38" s="367">
        <v>0</v>
      </c>
      <c r="AM38" s="367"/>
      <c r="AN38" s="361"/>
      <c r="AO38" s="365">
        <v>0</v>
      </c>
      <c r="AP38" s="365">
        <v>0</v>
      </c>
      <c r="AQ38" s="365">
        <v>0</v>
      </c>
      <c r="AR38" s="365">
        <v>0</v>
      </c>
      <c r="AS38" s="371">
        <f t="shared" si="9"/>
        <v>0</v>
      </c>
      <c r="AT38" s="372">
        <f>IF(ROUND(AT37,0)&gt;0,AT37-PMT('Test de compensation'!$D$149,'Test de compensation'!$D$142,-'Test de compensation'!$D$124)+AU37,0)</f>
        <v>0</v>
      </c>
      <c r="AU38" s="372">
        <f>AT38*'Test de compensation'!$D$149</f>
        <v>0</v>
      </c>
      <c r="AV38" s="367"/>
      <c r="AW38" s="367"/>
      <c r="AX38" s="306" t="s">
        <v>4</v>
      </c>
    </row>
    <row r="39" spans="1:50" ht="12.75" customHeight="1" x14ac:dyDescent="0.25">
      <c r="A39" s="358">
        <v>33</v>
      </c>
      <c r="B39" s="375">
        <f t="shared" si="10"/>
        <v>0.02</v>
      </c>
      <c r="C39" s="360">
        <f>IF(A39&gt;'Test de compensation'!$D$142,0,C38+(C38*B38))</f>
        <v>0</v>
      </c>
      <c r="D39" s="306">
        <f>IF(A39&gt;'Test de compensation'!$D$87,0,'Calculs détaillés'!D38)</f>
        <v>0</v>
      </c>
      <c r="E39" s="306">
        <f t="shared" si="11"/>
        <v>0</v>
      </c>
      <c r="F39" s="65">
        <v>0</v>
      </c>
      <c r="G39" s="65">
        <v>0</v>
      </c>
      <c r="H39" s="306">
        <f>IF(A39&gt;'Test de compensation'!$D$142,0,H38+H38*B38)</f>
        <v>0</v>
      </c>
      <c r="I39" s="65">
        <v>0</v>
      </c>
      <c r="J39" s="361">
        <f t="shared" si="0"/>
        <v>0</v>
      </c>
      <c r="K39" s="362">
        <f t="shared" si="1"/>
        <v>33</v>
      </c>
      <c r="L39" s="366">
        <f t="shared" si="12"/>
        <v>2.1500000000000002E-2</v>
      </c>
      <c r="M39" s="306">
        <f>IF(A39&gt;'Test de compensation'!$H$129,0,'Calculs détaillés'!M38)</f>
        <v>0</v>
      </c>
      <c r="N39" s="316">
        <f t="shared" si="13"/>
        <v>1.5976435458263161E-11</v>
      </c>
      <c r="O39" s="306">
        <f t="shared" si="2"/>
        <v>-1.5976435458263161E-11</v>
      </c>
      <c r="P39" s="365">
        <f t="shared" si="14"/>
        <v>7.5906645677282876E-10</v>
      </c>
      <c r="Q39" s="362">
        <f t="shared" si="3"/>
        <v>33</v>
      </c>
      <c r="R39" s="153">
        <f t="shared" si="15"/>
        <v>0.03</v>
      </c>
      <c r="S39" s="306">
        <f>IF(Q39&gt;'Test de compensation'!$H$130,0,'Calculs détaillés'!S38)</f>
        <v>23269.645784799744</v>
      </c>
      <c r="T39" s="316">
        <f t="shared" si="16"/>
        <v>1974.6235287378595</v>
      </c>
      <c r="U39" s="306">
        <f t="shared" si="17"/>
        <v>21295.022256061886</v>
      </c>
      <c r="V39" s="365">
        <f t="shared" si="18"/>
        <v>44525.762035200096</v>
      </c>
      <c r="W39" s="362">
        <f t="shared" si="4"/>
        <v>33</v>
      </c>
      <c r="X39" s="153">
        <f t="shared" si="19"/>
        <v>2.5000000000000001E-3</v>
      </c>
      <c r="Y39" s="306">
        <f>IF(W39&gt;'Test de compensation'!$H$131,0,'Calculs détaillés'!Y38)</f>
        <v>0</v>
      </c>
      <c r="Z39" s="316">
        <f t="shared" si="20"/>
        <v>0</v>
      </c>
      <c r="AA39" s="306">
        <f t="shared" si="5"/>
        <v>0</v>
      </c>
      <c r="AB39" s="365">
        <f t="shared" si="21"/>
        <v>0</v>
      </c>
      <c r="AC39" s="362">
        <f t="shared" si="6"/>
        <v>33</v>
      </c>
      <c r="AD39" s="366">
        <f t="shared" si="22"/>
        <v>0.04</v>
      </c>
      <c r="AE39" s="306">
        <f>IF(AC39&gt;'Test de compensation'!$H$132,0,'Calculs détaillés'!AE38)</f>
        <v>0</v>
      </c>
      <c r="AF39" s="316">
        <f t="shared" si="23"/>
        <v>-6.8973714704187181E-12</v>
      </c>
      <c r="AG39" s="306">
        <f t="shared" si="7"/>
        <v>6.8973714704187181E-12</v>
      </c>
      <c r="AH39" s="306">
        <f t="shared" si="24"/>
        <v>-1.7933165823088666E-10</v>
      </c>
      <c r="AI39" s="367">
        <f t="shared" si="8"/>
        <v>23269.645784799744</v>
      </c>
      <c r="AJ39" s="368">
        <f>IF(A39&gt;'Test de compensation'!$D$142,0,AF39+Z39+N39+T39)</f>
        <v>0</v>
      </c>
      <c r="AK39" s="373">
        <v>0</v>
      </c>
      <c r="AL39" s="367">
        <v>0</v>
      </c>
      <c r="AM39" s="367"/>
      <c r="AN39" s="361"/>
      <c r="AO39" s="365">
        <v>0</v>
      </c>
      <c r="AP39" s="365">
        <v>0</v>
      </c>
      <c r="AQ39" s="365">
        <v>0</v>
      </c>
      <c r="AR39" s="365">
        <v>0</v>
      </c>
      <c r="AS39" s="371">
        <f t="shared" si="9"/>
        <v>0</v>
      </c>
      <c r="AT39" s="372">
        <f>IF(ROUND(AT38,0)&gt;0,AT38-PMT('Test de compensation'!$D$149,'Test de compensation'!$D$142,-'Test de compensation'!$D$124)+AU38,0)</f>
        <v>0</v>
      </c>
      <c r="AU39" s="372">
        <f>AT39*'Test de compensation'!$D$149</f>
        <v>0</v>
      </c>
      <c r="AV39" s="367"/>
      <c r="AW39" s="367"/>
      <c r="AX39" s="306" t="s">
        <v>4</v>
      </c>
    </row>
    <row r="40" spans="1:50" ht="12.75" customHeight="1" x14ac:dyDescent="0.25">
      <c r="A40" s="358">
        <v>34</v>
      </c>
      <c r="B40" s="375">
        <f t="shared" si="10"/>
        <v>0.02</v>
      </c>
      <c r="C40" s="360">
        <f>IF(A40&gt;'Test de compensation'!$D$142,0,C39+(C39*B39))</f>
        <v>0</v>
      </c>
      <c r="D40" s="306">
        <f>IF(A40&gt;'Test de compensation'!$D$87,0,'Calculs détaillés'!D39)</f>
        <v>0</v>
      </c>
      <c r="E40" s="306">
        <f t="shared" si="11"/>
        <v>0</v>
      </c>
      <c r="F40" s="65">
        <v>0</v>
      </c>
      <c r="G40" s="65">
        <v>0</v>
      </c>
      <c r="H40" s="306">
        <f>IF(A40&gt;'Test de compensation'!$D$142,0,H39+H39*B39)</f>
        <v>0</v>
      </c>
      <c r="I40" s="65">
        <v>0</v>
      </c>
      <c r="J40" s="361">
        <f t="shared" si="0"/>
        <v>0</v>
      </c>
      <c r="K40" s="362">
        <f t="shared" si="1"/>
        <v>34</v>
      </c>
      <c r="L40" s="366">
        <f t="shared" si="12"/>
        <v>2.1500000000000002E-2</v>
      </c>
      <c r="M40" s="306">
        <f>IF(A40&gt;'Test de compensation'!$H$129,0,'Calculs détaillés'!M39)</f>
        <v>0</v>
      </c>
      <c r="N40" s="316">
        <f t="shared" si="13"/>
        <v>1.6319928820615818E-11</v>
      </c>
      <c r="O40" s="306">
        <f t="shared" si="2"/>
        <v>-1.6319928820615818E-11</v>
      </c>
      <c r="P40" s="365">
        <f t="shared" si="14"/>
        <v>7.7538638559344457E-10</v>
      </c>
      <c r="Q40" s="362">
        <f t="shared" si="3"/>
        <v>34</v>
      </c>
      <c r="R40" s="153">
        <f t="shared" si="15"/>
        <v>0.03</v>
      </c>
      <c r="S40" s="306">
        <f>IF(Q40&gt;'Test de compensation'!$H$130,0,'Calculs détaillés'!S39)</f>
        <v>23269.645784799744</v>
      </c>
      <c r="T40" s="316">
        <f t="shared" si="16"/>
        <v>1335.7728610560027</v>
      </c>
      <c r="U40" s="306">
        <f t="shared" si="17"/>
        <v>21933.87292374374</v>
      </c>
      <c r="V40" s="365">
        <f t="shared" si="18"/>
        <v>22591.889111456356</v>
      </c>
      <c r="W40" s="362">
        <f t="shared" si="4"/>
        <v>34</v>
      </c>
      <c r="X40" s="153">
        <f t="shared" si="19"/>
        <v>2.5000000000000001E-3</v>
      </c>
      <c r="Y40" s="306">
        <f>IF(W40&gt;'Test de compensation'!$H$131,0,'Calculs détaillés'!Y39)</f>
        <v>0</v>
      </c>
      <c r="Z40" s="316">
        <f t="shared" si="20"/>
        <v>0</v>
      </c>
      <c r="AA40" s="306">
        <f t="shared" si="5"/>
        <v>0</v>
      </c>
      <c r="AB40" s="365">
        <f t="shared" si="21"/>
        <v>0</v>
      </c>
      <c r="AC40" s="362">
        <f t="shared" si="6"/>
        <v>34</v>
      </c>
      <c r="AD40" s="366">
        <f t="shared" si="22"/>
        <v>0.04</v>
      </c>
      <c r="AE40" s="306">
        <f>IF(AC40&gt;'Test de compensation'!$H$132,0,'Calculs détaillés'!AE39)</f>
        <v>0</v>
      </c>
      <c r="AF40" s="316">
        <f t="shared" si="23"/>
        <v>-7.1732663292354665E-12</v>
      </c>
      <c r="AG40" s="306">
        <f t="shared" si="7"/>
        <v>7.1732663292354665E-12</v>
      </c>
      <c r="AH40" s="306">
        <f t="shared" si="24"/>
        <v>-1.8650492456012212E-10</v>
      </c>
      <c r="AI40" s="367">
        <f t="shared" si="8"/>
        <v>23269.645784799744</v>
      </c>
      <c r="AJ40" s="368">
        <f>IF(A40&gt;'Test de compensation'!$D$142,0,AF40+Z40+N40+T40)</f>
        <v>0</v>
      </c>
      <c r="AK40" s="373">
        <v>0</v>
      </c>
      <c r="AL40" s="367">
        <v>0</v>
      </c>
      <c r="AM40" s="367"/>
      <c r="AN40" s="361"/>
      <c r="AO40" s="365">
        <v>0</v>
      </c>
      <c r="AP40" s="365">
        <v>0</v>
      </c>
      <c r="AQ40" s="365">
        <v>0</v>
      </c>
      <c r="AR40" s="365">
        <v>0</v>
      </c>
      <c r="AS40" s="371">
        <f t="shared" si="9"/>
        <v>0</v>
      </c>
      <c r="AT40" s="372">
        <f>IF(ROUND(AT39,0)&gt;0,AT39-PMT('Test de compensation'!$D$149,'Test de compensation'!$D$142,-'Test de compensation'!$D$124)+AU39,0)</f>
        <v>0</v>
      </c>
      <c r="AU40" s="372">
        <f>AT40*'Test de compensation'!$D$149</f>
        <v>0</v>
      </c>
      <c r="AV40" s="367"/>
      <c r="AW40" s="367"/>
      <c r="AX40" s="306" t="s">
        <v>4</v>
      </c>
    </row>
    <row r="41" spans="1:50" ht="12.75" customHeight="1" x14ac:dyDescent="0.25">
      <c r="A41" s="358">
        <v>35</v>
      </c>
      <c r="B41" s="375">
        <f t="shared" si="10"/>
        <v>0.02</v>
      </c>
      <c r="C41" s="360">
        <f>IF(A41&gt;'Test de compensation'!$D$142,0,C40+(C40*B40))</f>
        <v>0</v>
      </c>
      <c r="D41" s="306">
        <f>IF(A41&gt;'Test de compensation'!$D$87,0,'Calculs détaillés'!D40)</f>
        <v>0</v>
      </c>
      <c r="E41" s="306">
        <f t="shared" si="11"/>
        <v>0</v>
      </c>
      <c r="F41" s="65">
        <v>0</v>
      </c>
      <c r="G41" s="65">
        <v>0</v>
      </c>
      <c r="H41" s="306">
        <f>IF(A41&gt;'Test de compensation'!$D$142,0,H40+H40*B40)</f>
        <v>0</v>
      </c>
      <c r="I41" s="65">
        <v>0</v>
      </c>
      <c r="J41" s="361">
        <f t="shared" si="0"/>
        <v>0</v>
      </c>
      <c r="K41" s="362">
        <f t="shared" si="1"/>
        <v>35</v>
      </c>
      <c r="L41" s="366">
        <f t="shared" si="12"/>
        <v>2.1500000000000002E-2</v>
      </c>
      <c r="M41" s="306">
        <f>IF(A41&gt;'Test de compensation'!$H$129,0,'Calculs détaillés'!M40)</f>
        <v>0</v>
      </c>
      <c r="N41" s="316">
        <f t="shared" si="13"/>
        <v>1.6670807290259059E-11</v>
      </c>
      <c r="O41" s="306">
        <f t="shared" si="2"/>
        <v>-1.6670807290259059E-11</v>
      </c>
      <c r="P41" s="365">
        <f t="shared" si="14"/>
        <v>7.9205719288370366E-10</v>
      </c>
      <c r="Q41" s="362">
        <f t="shared" si="3"/>
        <v>35</v>
      </c>
      <c r="R41" s="153">
        <f t="shared" si="15"/>
        <v>0.03</v>
      </c>
      <c r="S41" s="306">
        <f>IF(Q41&gt;'Test de compensation'!$H$130,0,'Calculs détaillés'!S40)</f>
        <v>23269.645784799744</v>
      </c>
      <c r="T41" s="316">
        <f t="shared" si="16"/>
        <v>677.75667334369064</v>
      </c>
      <c r="U41" s="306">
        <f t="shared" si="17"/>
        <v>22591.889111456054</v>
      </c>
      <c r="V41" s="365">
        <f t="shared" si="18"/>
        <v>3.0195224098861217E-10</v>
      </c>
      <c r="W41" s="362">
        <f t="shared" si="4"/>
        <v>35</v>
      </c>
      <c r="X41" s="153">
        <f t="shared" si="19"/>
        <v>2.5000000000000001E-3</v>
      </c>
      <c r="Y41" s="306">
        <f>IF(W41&gt;'Test de compensation'!$H$131,0,'Calculs détaillés'!Y40)</f>
        <v>0</v>
      </c>
      <c r="Z41" s="316">
        <f t="shared" si="20"/>
        <v>0</v>
      </c>
      <c r="AA41" s="306">
        <f t="shared" si="5"/>
        <v>0</v>
      </c>
      <c r="AB41" s="365">
        <f t="shared" si="21"/>
        <v>0</v>
      </c>
      <c r="AC41" s="362">
        <f t="shared" si="6"/>
        <v>35</v>
      </c>
      <c r="AD41" s="366">
        <f t="shared" si="22"/>
        <v>0.04</v>
      </c>
      <c r="AE41" s="306">
        <f>IF(AC41&gt;'Test de compensation'!$H$132,0,'Calculs détaillés'!AE40)</f>
        <v>0</v>
      </c>
      <c r="AF41" s="316">
        <f t="shared" si="23"/>
        <v>-7.4601969824048844E-12</v>
      </c>
      <c r="AG41" s="306">
        <f t="shared" si="7"/>
        <v>7.4601969824048844E-12</v>
      </c>
      <c r="AH41" s="306">
        <f t="shared" si="24"/>
        <v>-1.93965121542527E-10</v>
      </c>
      <c r="AI41" s="367">
        <f>M41+S41+Y41+AE41</f>
        <v>23269.645784799744</v>
      </c>
      <c r="AJ41" s="368">
        <f>IF(A41&gt;'Test de compensation'!$D$142,0,AF41+Z41+N41+T41)</f>
        <v>0</v>
      </c>
      <c r="AK41" s="373">
        <v>0</v>
      </c>
      <c r="AL41" s="367">
        <v>0</v>
      </c>
      <c r="AM41" s="367"/>
      <c r="AN41" s="361"/>
      <c r="AO41" s="365">
        <v>0</v>
      </c>
      <c r="AP41" s="365">
        <v>0</v>
      </c>
      <c r="AQ41" s="365">
        <v>0</v>
      </c>
      <c r="AR41" s="365">
        <v>0</v>
      </c>
      <c r="AS41" s="371">
        <f t="shared" si="9"/>
        <v>0</v>
      </c>
      <c r="AT41" s="372">
        <f>IF(ROUND(AT40,0)&gt;0,AT40-PMT('Test de compensation'!$D$149,'Test de compensation'!$D$142,-'Test de compensation'!$D$124)+AU40,0)</f>
        <v>0</v>
      </c>
      <c r="AU41" s="372">
        <f>AT41*'Test de compensation'!$D$149</f>
        <v>0</v>
      </c>
      <c r="AV41" s="367"/>
      <c r="AW41" s="367"/>
      <c r="AX41" s="306" t="s">
        <v>4</v>
      </c>
    </row>
    <row r="42" spans="1:50" ht="12.75" customHeight="1" x14ac:dyDescent="0.25">
      <c r="A42" s="358">
        <v>36</v>
      </c>
      <c r="B42" s="375">
        <f t="shared" si="10"/>
        <v>0.02</v>
      </c>
      <c r="C42" s="360">
        <f>IF(A42&gt;'Test de compensation'!$D$142,0,C41+(C41*B41))</f>
        <v>0</v>
      </c>
      <c r="D42" s="306">
        <f>IF(A42&gt;'Test de compensation'!$D$87,0,'Calculs détaillés'!D41)</f>
        <v>0</v>
      </c>
      <c r="E42" s="306">
        <f t="shared" si="11"/>
        <v>0</v>
      </c>
      <c r="F42" s="65">
        <v>0</v>
      </c>
      <c r="G42" s="65">
        <v>0</v>
      </c>
      <c r="H42" s="306">
        <f>IF(A42&gt;'Test de compensation'!$D$142,0,H41+H41*B41)</f>
        <v>0</v>
      </c>
      <c r="I42" s="65">
        <v>0</v>
      </c>
      <c r="J42" s="361">
        <f t="shared" si="0"/>
        <v>0</v>
      </c>
      <c r="K42" s="362">
        <f t="shared" si="1"/>
        <v>36</v>
      </c>
      <c r="L42" s="366">
        <f t="shared" si="12"/>
        <v>2.1500000000000002E-2</v>
      </c>
      <c r="M42" s="306">
        <f>IF(A42&gt;'Test de compensation'!$H$129,0,'Calculs détaillés'!M41)</f>
        <v>0</v>
      </c>
      <c r="N42" s="316">
        <f t="shared" si="13"/>
        <v>1.702922964699963E-11</v>
      </c>
      <c r="O42" s="306">
        <f t="shared" si="2"/>
        <v>-1.702922964699963E-11</v>
      </c>
      <c r="P42" s="365">
        <f t="shared" si="14"/>
        <v>8.0908642253070327E-10</v>
      </c>
      <c r="Q42" s="362">
        <f t="shared" si="3"/>
        <v>36</v>
      </c>
      <c r="R42" s="153">
        <f t="shared" si="15"/>
        <v>0.03</v>
      </c>
      <c r="S42" s="306">
        <f>IF(Q42&gt;'Test de compensation'!$H$130,0,'Calculs détaillés'!S41)</f>
        <v>0</v>
      </c>
      <c r="T42" s="316">
        <f t="shared" si="16"/>
        <v>9.0585672296583644E-12</v>
      </c>
      <c r="U42" s="306">
        <f t="shared" si="17"/>
        <v>-9.0585672296583644E-12</v>
      </c>
      <c r="V42" s="365">
        <f t="shared" si="18"/>
        <v>3.1101080821827052E-10</v>
      </c>
      <c r="W42" s="362">
        <f t="shared" si="4"/>
        <v>36</v>
      </c>
      <c r="X42" s="153">
        <f t="shared" si="19"/>
        <v>2.5000000000000001E-3</v>
      </c>
      <c r="Y42" s="306">
        <f>IF(W42&gt;'Test de compensation'!$H$131,0,'Calculs détaillés'!Y41)</f>
        <v>0</v>
      </c>
      <c r="Z42" s="316">
        <f t="shared" si="20"/>
        <v>0</v>
      </c>
      <c r="AA42" s="306">
        <f t="shared" si="5"/>
        <v>0</v>
      </c>
      <c r="AB42" s="365">
        <f t="shared" si="21"/>
        <v>0</v>
      </c>
      <c r="AC42" s="362">
        <f t="shared" si="6"/>
        <v>36</v>
      </c>
      <c r="AD42" s="366">
        <f t="shared" si="22"/>
        <v>0.04</v>
      </c>
      <c r="AE42" s="306">
        <f>IF(AC42&gt;'Test de compensation'!$H$132,0,'Calculs détaillés'!AE41)</f>
        <v>0</v>
      </c>
      <c r="AF42" s="316">
        <f t="shared" si="23"/>
        <v>-7.7586048617010805E-12</v>
      </c>
      <c r="AG42" s="306">
        <f t="shared" si="7"/>
        <v>7.7586048617010805E-12</v>
      </c>
      <c r="AH42" s="306">
        <f t="shared" si="24"/>
        <v>-2.0172372640422809E-10</v>
      </c>
      <c r="AI42" s="367">
        <f t="shared" si="8"/>
        <v>0</v>
      </c>
      <c r="AJ42" s="368">
        <f>IF(A42&gt;'Test de compensation'!$D$142,0,AF42+Z42+N42+T42)</f>
        <v>0</v>
      </c>
      <c r="AK42" s="373">
        <v>0</v>
      </c>
      <c r="AL42" s="367">
        <v>0</v>
      </c>
      <c r="AM42" s="367"/>
      <c r="AN42" s="361"/>
      <c r="AO42" s="365">
        <v>0</v>
      </c>
      <c r="AP42" s="365">
        <v>0</v>
      </c>
      <c r="AQ42" s="365">
        <v>0</v>
      </c>
      <c r="AR42" s="365">
        <v>0</v>
      </c>
      <c r="AS42" s="371">
        <f t="shared" si="9"/>
        <v>0</v>
      </c>
      <c r="AT42" s="372">
        <f>IF(ROUND(AT41,0)&gt;0,AT41-PMT('Test de compensation'!$D$149,'Test de compensation'!$D$142,-'Test de compensation'!$D$124)+AU41,0)</f>
        <v>0</v>
      </c>
      <c r="AU42" s="372">
        <f>AT42*'Test de compensation'!$D$149</f>
        <v>0</v>
      </c>
      <c r="AV42" s="367"/>
      <c r="AW42" s="367"/>
      <c r="AX42" s="306" t="s">
        <v>4</v>
      </c>
    </row>
    <row r="43" spans="1:50" ht="12.75" customHeight="1" x14ac:dyDescent="0.25">
      <c r="A43" s="358">
        <v>37</v>
      </c>
      <c r="B43" s="375">
        <f t="shared" si="10"/>
        <v>0.02</v>
      </c>
      <c r="C43" s="360">
        <f>IF(A43&gt;'Test de compensation'!$D$142,0,C42+(C42*B42))</f>
        <v>0</v>
      </c>
      <c r="D43" s="306">
        <f>IF(A43&gt;'Test de compensation'!$D$87,0,'Calculs détaillés'!D42)</f>
        <v>0</v>
      </c>
      <c r="E43" s="306">
        <f t="shared" si="11"/>
        <v>0</v>
      </c>
      <c r="F43" s="65">
        <v>0</v>
      </c>
      <c r="G43" s="65">
        <v>0</v>
      </c>
      <c r="H43" s="306">
        <f>IF(A43&gt;'Test de compensation'!$D$142,0,H42+H42*B42)</f>
        <v>0</v>
      </c>
      <c r="I43" s="65">
        <v>0</v>
      </c>
      <c r="J43" s="361">
        <f t="shared" si="0"/>
        <v>0</v>
      </c>
      <c r="K43" s="362">
        <f t="shared" si="1"/>
        <v>37</v>
      </c>
      <c r="L43" s="366">
        <f t="shared" si="12"/>
        <v>2.1500000000000002E-2</v>
      </c>
      <c r="M43" s="306">
        <f>IF(A43&gt;'Test de compensation'!$H$129,0,'Calculs détaillés'!M42)</f>
        <v>0</v>
      </c>
      <c r="N43" s="316">
        <f t="shared" si="13"/>
        <v>1.7395358084410122E-11</v>
      </c>
      <c r="O43" s="306">
        <f t="shared" si="2"/>
        <v>-1.7395358084410122E-11</v>
      </c>
      <c r="P43" s="365">
        <f t="shared" si="14"/>
        <v>8.2648178061511342E-10</v>
      </c>
      <c r="Q43" s="362">
        <f t="shared" si="3"/>
        <v>37</v>
      </c>
      <c r="R43" s="153">
        <f t="shared" si="15"/>
        <v>0.03</v>
      </c>
      <c r="S43" s="306">
        <f>IF(Q43&gt;'Test de compensation'!$H$130,0,'Calculs détaillés'!S42)</f>
        <v>0</v>
      </c>
      <c r="T43" s="316">
        <f t="shared" si="16"/>
        <v>9.3303242465481153E-12</v>
      </c>
      <c r="U43" s="306">
        <f t="shared" si="17"/>
        <v>-9.3303242465481153E-12</v>
      </c>
      <c r="V43" s="365">
        <f t="shared" si="18"/>
        <v>3.2034113246481865E-10</v>
      </c>
      <c r="W43" s="362">
        <f t="shared" si="4"/>
        <v>37</v>
      </c>
      <c r="X43" s="153">
        <f t="shared" si="19"/>
        <v>2.5000000000000001E-3</v>
      </c>
      <c r="Y43" s="306">
        <f>IF(W43&gt;'Test de compensation'!$H$131,0,'Calculs détaillés'!Y42)</f>
        <v>0</v>
      </c>
      <c r="Z43" s="316">
        <f t="shared" si="20"/>
        <v>0</v>
      </c>
      <c r="AA43" s="306">
        <f t="shared" si="5"/>
        <v>0</v>
      </c>
      <c r="AB43" s="365">
        <f t="shared" si="21"/>
        <v>0</v>
      </c>
      <c r="AC43" s="362">
        <f t="shared" si="6"/>
        <v>37</v>
      </c>
      <c r="AD43" s="366">
        <f t="shared" si="22"/>
        <v>0.04</v>
      </c>
      <c r="AE43" s="306">
        <f>IF(AC43&gt;'Test de compensation'!$H$132,0,'Calculs détaillés'!AE42)</f>
        <v>0</v>
      </c>
      <c r="AF43" s="316">
        <f t="shared" si="23"/>
        <v>-8.0689490561691244E-12</v>
      </c>
      <c r="AG43" s="306">
        <f t="shared" si="7"/>
        <v>8.0689490561691244E-12</v>
      </c>
      <c r="AH43" s="306">
        <f t="shared" si="24"/>
        <v>-2.0979267546039721E-10</v>
      </c>
      <c r="AI43" s="367">
        <f t="shared" si="8"/>
        <v>0</v>
      </c>
      <c r="AJ43" s="368">
        <f>IF(A43&gt;'Test de compensation'!$D$142,0,AF43+Z43+N43+T43)</f>
        <v>0</v>
      </c>
      <c r="AK43" s="373">
        <v>0</v>
      </c>
      <c r="AL43" s="367">
        <v>0</v>
      </c>
      <c r="AM43" s="367"/>
      <c r="AN43" s="361"/>
      <c r="AO43" s="365">
        <v>0</v>
      </c>
      <c r="AP43" s="365">
        <v>0</v>
      </c>
      <c r="AQ43" s="365">
        <v>0</v>
      </c>
      <c r="AR43" s="365">
        <v>0</v>
      </c>
      <c r="AS43" s="371">
        <f t="shared" si="9"/>
        <v>0</v>
      </c>
      <c r="AT43" s="372">
        <f>IF(ROUND(AT42,0)&gt;0,AT42-PMT('Test de compensation'!$D$149,'Test de compensation'!$D$142,-'Test de compensation'!$D$124)+AU42,0)</f>
        <v>0</v>
      </c>
      <c r="AU43" s="372">
        <f>AT43*'Test de compensation'!$D$149</f>
        <v>0</v>
      </c>
      <c r="AV43" s="367"/>
      <c r="AW43" s="367"/>
      <c r="AX43" s="306"/>
    </row>
    <row r="44" spans="1:50" ht="12.75" customHeight="1" x14ac:dyDescent="0.25">
      <c r="A44" s="358">
        <v>38</v>
      </c>
      <c r="B44" s="375">
        <f t="shared" si="10"/>
        <v>0.02</v>
      </c>
      <c r="C44" s="360">
        <f>IF(A44&gt;'Test de compensation'!$D$142,0,C43+(C43*B43))</f>
        <v>0</v>
      </c>
      <c r="D44" s="306">
        <f>IF(A44&gt;'Test de compensation'!$D$87,0,'Calculs détaillés'!D43)</f>
        <v>0</v>
      </c>
      <c r="E44" s="306">
        <f t="shared" si="11"/>
        <v>0</v>
      </c>
      <c r="F44" s="65">
        <v>0</v>
      </c>
      <c r="G44" s="65">
        <v>0</v>
      </c>
      <c r="H44" s="306">
        <f>IF(A44&gt;'Test de compensation'!$D$142,0,H43+H43*B43)</f>
        <v>0</v>
      </c>
      <c r="I44" s="65">
        <v>0</v>
      </c>
      <c r="J44" s="361">
        <f t="shared" si="0"/>
        <v>0</v>
      </c>
      <c r="K44" s="362">
        <f t="shared" si="1"/>
        <v>38</v>
      </c>
      <c r="L44" s="366">
        <f t="shared" si="12"/>
        <v>2.1500000000000002E-2</v>
      </c>
      <c r="M44" s="306">
        <f>IF(A44&gt;'Test de compensation'!$H$129,0,'Calculs détaillés'!M43)</f>
        <v>0</v>
      </c>
      <c r="N44" s="316">
        <f t="shared" si="13"/>
        <v>1.776935828322494E-11</v>
      </c>
      <c r="O44" s="306">
        <f t="shared" si="2"/>
        <v>-1.776935828322494E-11</v>
      </c>
      <c r="P44" s="365">
        <f t="shared" si="14"/>
        <v>8.4425113889833839E-10</v>
      </c>
      <c r="Q44" s="362">
        <f t="shared" si="3"/>
        <v>38</v>
      </c>
      <c r="R44" s="153">
        <f t="shared" si="15"/>
        <v>0.03</v>
      </c>
      <c r="S44" s="306">
        <f>IF(Q44&gt;'Test de compensation'!$H$130,0,'Calculs détaillés'!S43)</f>
        <v>0</v>
      </c>
      <c r="T44" s="316">
        <f t="shared" si="16"/>
        <v>9.6102339739445594E-12</v>
      </c>
      <c r="U44" s="306">
        <f t="shared" si="17"/>
        <v>-9.6102339739445594E-12</v>
      </c>
      <c r="V44" s="365">
        <f t="shared" si="18"/>
        <v>3.2995136643876318E-10</v>
      </c>
      <c r="W44" s="362">
        <f t="shared" si="4"/>
        <v>38</v>
      </c>
      <c r="X44" s="153">
        <f t="shared" si="19"/>
        <v>2.5000000000000001E-3</v>
      </c>
      <c r="Y44" s="306">
        <f>IF(W44&gt;'Test de compensation'!$H$131,0,'Calculs détaillés'!Y43)</f>
        <v>0</v>
      </c>
      <c r="Z44" s="316">
        <f t="shared" si="20"/>
        <v>0</v>
      </c>
      <c r="AA44" s="306">
        <f t="shared" si="5"/>
        <v>0</v>
      </c>
      <c r="AB44" s="365">
        <f t="shared" si="21"/>
        <v>0</v>
      </c>
      <c r="AC44" s="362">
        <f t="shared" si="6"/>
        <v>38</v>
      </c>
      <c r="AD44" s="366">
        <f t="shared" si="22"/>
        <v>0.04</v>
      </c>
      <c r="AE44" s="306">
        <f>IF(AC44&gt;'Test de compensation'!$H$132,0,'Calculs détaillés'!AE43)</f>
        <v>0</v>
      </c>
      <c r="AF44" s="316">
        <f t="shared" si="23"/>
        <v>-8.3917070184158882E-12</v>
      </c>
      <c r="AG44" s="306">
        <f t="shared" si="7"/>
        <v>8.3917070184158882E-12</v>
      </c>
      <c r="AH44" s="306">
        <f t="shared" si="24"/>
        <v>-2.1818438247881308E-10</v>
      </c>
      <c r="AI44" s="367">
        <f t="shared" si="8"/>
        <v>0</v>
      </c>
      <c r="AJ44" s="368">
        <f>IF(A44&gt;'Test de compensation'!$D$142,0,AF44+Z44+N44+T44)</f>
        <v>0</v>
      </c>
      <c r="AK44" s="373">
        <v>0</v>
      </c>
      <c r="AL44" s="367">
        <v>0</v>
      </c>
      <c r="AM44" s="367"/>
      <c r="AN44" s="361"/>
      <c r="AO44" s="365">
        <v>0</v>
      </c>
      <c r="AP44" s="365">
        <v>0</v>
      </c>
      <c r="AQ44" s="365">
        <v>0</v>
      </c>
      <c r="AR44" s="365">
        <v>0</v>
      </c>
      <c r="AS44" s="371">
        <f t="shared" si="9"/>
        <v>0</v>
      </c>
      <c r="AT44" s="372">
        <f>IF(ROUND(AT43,0)&gt;0,AT43-PMT('Test de compensation'!$D$149,'Test de compensation'!$D$142,-'Test de compensation'!$D$124)+AU43,0)</f>
        <v>0</v>
      </c>
      <c r="AU44" s="372">
        <f>AT44*'Test de compensation'!$D$149</f>
        <v>0</v>
      </c>
      <c r="AV44" s="367"/>
      <c r="AW44" s="367"/>
      <c r="AX44" s="306"/>
    </row>
    <row r="45" spans="1:50" ht="12.75" customHeight="1" x14ac:dyDescent="0.25">
      <c r="A45" s="358">
        <v>39</v>
      </c>
      <c r="B45" s="375">
        <f t="shared" si="10"/>
        <v>0.02</v>
      </c>
      <c r="C45" s="360">
        <f>IF(A45&gt;'Test de compensation'!$D$142,0,C44+(C44*B44))</f>
        <v>0</v>
      </c>
      <c r="D45" s="306">
        <f>IF(A45&gt;'Test de compensation'!$D$87,0,'Calculs détaillés'!D44)</f>
        <v>0</v>
      </c>
      <c r="E45" s="306">
        <f t="shared" si="11"/>
        <v>0</v>
      </c>
      <c r="F45" s="65">
        <v>0</v>
      </c>
      <c r="G45" s="65">
        <v>0</v>
      </c>
      <c r="H45" s="306">
        <f>IF(A45&gt;'Test de compensation'!$D$142,0,H44+H44*B44)</f>
        <v>0</v>
      </c>
      <c r="I45" s="65">
        <v>0</v>
      </c>
      <c r="J45" s="361">
        <f t="shared" si="0"/>
        <v>0</v>
      </c>
      <c r="K45" s="362">
        <f t="shared" si="1"/>
        <v>39</v>
      </c>
      <c r="L45" s="366">
        <f t="shared" si="12"/>
        <v>2.1500000000000002E-2</v>
      </c>
      <c r="M45" s="306">
        <f>IF(A45&gt;'Test de compensation'!$H$129,0,'Calculs détaillés'!M44)</f>
        <v>0</v>
      </c>
      <c r="N45" s="316">
        <f t="shared" si="13"/>
        <v>1.8151399486314277E-11</v>
      </c>
      <c r="O45" s="306">
        <f t="shared" si="2"/>
        <v>-1.8151399486314277E-11</v>
      </c>
      <c r="P45" s="365">
        <f t="shared" si="14"/>
        <v>8.6240253838465263E-10</v>
      </c>
      <c r="Q45" s="362">
        <f t="shared" si="3"/>
        <v>39</v>
      </c>
      <c r="R45" s="153">
        <f t="shared" si="15"/>
        <v>0.03</v>
      </c>
      <c r="S45" s="306">
        <f>IF(Q45&gt;'Test de compensation'!$H$130,0,'Calculs détaillés'!S44)</f>
        <v>0</v>
      </c>
      <c r="T45" s="316">
        <f t="shared" si="16"/>
        <v>9.8985409931628955E-12</v>
      </c>
      <c r="U45" s="306">
        <f t="shared" si="17"/>
        <v>-9.8985409931628955E-12</v>
      </c>
      <c r="V45" s="365">
        <f t="shared" si="18"/>
        <v>3.3984990743192606E-10</v>
      </c>
      <c r="W45" s="362">
        <f t="shared" si="4"/>
        <v>39</v>
      </c>
      <c r="X45" s="153">
        <f t="shared" si="19"/>
        <v>2.5000000000000001E-3</v>
      </c>
      <c r="Y45" s="306">
        <f>IF(W45&gt;'Test de compensation'!$H$131,0,'Calculs détaillés'!Y44)</f>
        <v>0</v>
      </c>
      <c r="Z45" s="316">
        <f t="shared" si="20"/>
        <v>0</v>
      </c>
      <c r="AA45" s="306">
        <f t="shared" si="5"/>
        <v>0</v>
      </c>
      <c r="AB45" s="365">
        <f t="shared" si="21"/>
        <v>0</v>
      </c>
      <c r="AC45" s="362">
        <f t="shared" si="6"/>
        <v>39</v>
      </c>
      <c r="AD45" s="366">
        <f t="shared" si="22"/>
        <v>0.04</v>
      </c>
      <c r="AE45" s="306">
        <f>IF(AC45&gt;'Test de compensation'!$H$132,0,'Calculs détaillés'!AE44)</f>
        <v>0</v>
      </c>
      <c r="AF45" s="316">
        <f t="shared" si="23"/>
        <v>-8.7273752991525232E-12</v>
      </c>
      <c r="AG45" s="306">
        <f t="shared" si="7"/>
        <v>8.7273752991525232E-12</v>
      </c>
      <c r="AH45" s="306">
        <f t="shared" si="24"/>
        <v>-2.2691175777796561E-10</v>
      </c>
      <c r="AI45" s="367">
        <f t="shared" si="8"/>
        <v>0</v>
      </c>
      <c r="AJ45" s="368">
        <f>IF(A45&gt;'Test de compensation'!$D$142,0,AF45+Z45+N45+T45)</f>
        <v>0</v>
      </c>
      <c r="AK45" s="373">
        <v>0</v>
      </c>
      <c r="AL45" s="367">
        <v>0</v>
      </c>
      <c r="AN45" s="361"/>
      <c r="AO45" s="365">
        <v>0</v>
      </c>
      <c r="AP45" s="365">
        <v>0</v>
      </c>
      <c r="AQ45" s="365">
        <v>0</v>
      </c>
      <c r="AR45" s="365">
        <v>0</v>
      </c>
      <c r="AS45" s="371">
        <f t="shared" si="9"/>
        <v>0</v>
      </c>
      <c r="AT45" s="372">
        <f>IF(ROUND(AT44,0)&gt;0,AT44-PMT('Test de compensation'!$D$149,'Test de compensation'!$D$142,-'Test de compensation'!$D$124)+AU44,0)</f>
        <v>0</v>
      </c>
      <c r="AU45" s="372">
        <f>AT45*'Test de compensation'!$D$149</f>
        <v>0</v>
      </c>
      <c r="AV45" s="367"/>
      <c r="AW45" s="367"/>
      <c r="AX45" s="306"/>
    </row>
    <row r="46" spans="1:50" ht="12.75" customHeight="1" x14ac:dyDescent="0.25">
      <c r="A46" s="358">
        <v>40</v>
      </c>
      <c r="B46" s="375">
        <f t="shared" si="10"/>
        <v>0.02</v>
      </c>
      <c r="C46" s="360">
        <f>IF(A46&gt;'Test de compensation'!$D$142,0,C45+(C45*B45))</f>
        <v>0</v>
      </c>
      <c r="D46" s="306">
        <f>IF(A46&gt;'Test de compensation'!$D$87,0,'Calculs détaillés'!D45)</f>
        <v>0</v>
      </c>
      <c r="E46" s="306">
        <f t="shared" si="11"/>
        <v>0</v>
      </c>
      <c r="F46" s="65">
        <v>0</v>
      </c>
      <c r="G46" s="65">
        <v>0</v>
      </c>
      <c r="H46" s="306">
        <f>IF(A46&gt;'Test de compensation'!$D$142,0,H45+H45*B45)</f>
        <v>0</v>
      </c>
      <c r="I46" s="65">
        <v>0</v>
      </c>
      <c r="J46" s="361">
        <f t="shared" si="0"/>
        <v>0</v>
      </c>
      <c r="K46" s="362">
        <f t="shared" si="1"/>
        <v>40</v>
      </c>
      <c r="L46" s="366">
        <f t="shared" si="12"/>
        <v>2.1500000000000002E-2</v>
      </c>
      <c r="M46" s="306">
        <f>IF(A46&gt;'Test de compensation'!$H$129,0,'Calculs détaillés'!M45)</f>
        <v>0</v>
      </c>
      <c r="N46" s="316">
        <f t="shared" si="13"/>
        <v>1.8541654575270033E-11</v>
      </c>
      <c r="O46" s="306">
        <f t="shared" si="2"/>
        <v>-1.8541654575270033E-11</v>
      </c>
      <c r="P46" s="365">
        <f t="shared" si="14"/>
        <v>8.8094419295992263E-10</v>
      </c>
      <c r="Q46" s="362">
        <f t="shared" si="3"/>
        <v>40</v>
      </c>
      <c r="R46" s="153">
        <f t="shared" si="15"/>
        <v>0.03</v>
      </c>
      <c r="S46" s="306">
        <f>IF(Q46&gt;'Test de compensation'!$H$130,0,'Calculs détaillés'!S45)</f>
        <v>0</v>
      </c>
      <c r="T46" s="316">
        <f t="shared" si="16"/>
        <v>1.0195497222957782E-11</v>
      </c>
      <c r="U46" s="306">
        <f t="shared" si="17"/>
        <v>-1.0195497222957782E-11</v>
      </c>
      <c r="V46" s="365">
        <f t="shared" si="18"/>
        <v>3.5004540465488386E-10</v>
      </c>
      <c r="W46" s="362">
        <f t="shared" si="4"/>
        <v>40</v>
      </c>
      <c r="X46" s="153">
        <f t="shared" si="19"/>
        <v>2.5000000000000001E-3</v>
      </c>
      <c r="Y46" s="306">
        <f>IF(W46&gt;'Test de compensation'!$H$131,0,'Calculs détaillés'!Y45)</f>
        <v>0</v>
      </c>
      <c r="Z46" s="316">
        <f t="shared" si="20"/>
        <v>0</v>
      </c>
      <c r="AA46" s="306">
        <f t="shared" si="5"/>
        <v>0</v>
      </c>
      <c r="AB46" s="365">
        <f t="shared" si="21"/>
        <v>0</v>
      </c>
      <c r="AC46" s="362">
        <f t="shared" si="6"/>
        <v>40</v>
      </c>
      <c r="AD46" s="366">
        <f t="shared" si="22"/>
        <v>0.04</v>
      </c>
      <c r="AE46" s="306">
        <f>IF(AC46&gt;'Test de compensation'!$H$132,0,'Calculs détaillés'!AE45)</f>
        <v>0</v>
      </c>
      <c r="AF46" s="316">
        <f t="shared" si="23"/>
        <v>-9.0764703111186247E-12</v>
      </c>
      <c r="AG46" s="306">
        <f t="shared" si="7"/>
        <v>9.0764703111186247E-12</v>
      </c>
      <c r="AH46" s="306">
        <f t="shared" si="24"/>
        <v>-2.3598822808908421E-10</v>
      </c>
      <c r="AI46" s="367">
        <f t="shared" si="8"/>
        <v>0</v>
      </c>
      <c r="AJ46" s="368">
        <f>IF(A46&gt;'Test de compensation'!$D$142,0,AF46+Z46+N46+T46)</f>
        <v>0</v>
      </c>
      <c r="AK46" s="373">
        <v>0</v>
      </c>
      <c r="AL46" s="376">
        <v>0</v>
      </c>
      <c r="AM46" s="377"/>
      <c r="AN46" s="378"/>
      <c r="AO46" s="365">
        <v>0</v>
      </c>
      <c r="AP46" s="365">
        <v>0</v>
      </c>
      <c r="AQ46" s="365">
        <v>0</v>
      </c>
      <c r="AR46" s="365">
        <v>0</v>
      </c>
      <c r="AS46" s="371">
        <f t="shared" si="9"/>
        <v>0</v>
      </c>
      <c r="AT46" s="372">
        <f>IF(ROUND(AT45,0)&gt;0,AT45-PMT('Test de compensation'!$D$149,'Test de compensation'!$D$142,-'Test de compensation'!$D$124)+AU45,0)</f>
        <v>0</v>
      </c>
      <c r="AU46" s="372">
        <f>AT46*'Test de compensation'!$D$149</f>
        <v>0</v>
      </c>
      <c r="AV46" s="377"/>
      <c r="AW46" s="377"/>
      <c r="AX46" s="306"/>
    </row>
    <row r="47" spans="1:50" ht="12.75" customHeight="1" thickBot="1" x14ac:dyDescent="0.3">
      <c r="A47" s="379" t="s">
        <v>314</v>
      </c>
      <c r="B47" s="379"/>
      <c r="C47" s="380">
        <f t="shared" ref="C47:J47" si="25">SUM(C7:C46)</f>
        <v>126292.49939690635</v>
      </c>
      <c r="D47" s="381">
        <f t="shared" si="25"/>
        <v>1341640.7999999998</v>
      </c>
      <c r="E47" s="381">
        <f t="shared" si="25"/>
        <v>-44037.998981907185</v>
      </c>
      <c r="F47" s="381">
        <f t="shared" si="25"/>
        <v>111750</v>
      </c>
      <c r="G47" s="381">
        <f t="shared" si="25"/>
        <v>-44700</v>
      </c>
      <c r="H47" s="381">
        <f t="shared" si="25"/>
        <v>38436.359667883793</v>
      </c>
      <c r="I47" s="381">
        <f t="shared" si="25"/>
        <v>0</v>
      </c>
      <c r="J47" s="382">
        <f t="shared" si="25"/>
        <v>1529381.6600828834</v>
      </c>
      <c r="K47" s="383"/>
      <c r="L47" s="379"/>
      <c r="M47" s="381">
        <f>SUM(M7:M46)</f>
        <v>2606341.438168745</v>
      </c>
      <c r="N47" s="379">
        <f>SUM(N7:N46)</f>
        <v>606341.43816874572</v>
      </c>
      <c r="O47" s="381">
        <f t="shared" si="2"/>
        <v>1999999.9999999993</v>
      </c>
      <c r="P47" s="384" t="s">
        <v>4</v>
      </c>
      <c r="Q47" s="381"/>
      <c r="R47" s="381"/>
      <c r="S47" s="381">
        <f>SUM(S7:S46)</f>
        <v>814437.60246799083</v>
      </c>
      <c r="T47" s="379">
        <f>SUM(T7:T46)</f>
        <v>314437.60246799135</v>
      </c>
      <c r="U47" s="381">
        <f>SUM(U7:U46)</f>
        <v>499999.99999999971</v>
      </c>
      <c r="V47" s="384" t="s">
        <v>4</v>
      </c>
      <c r="W47" s="381"/>
      <c r="X47" s="381"/>
      <c r="Y47" s="381">
        <f>SUM(Y7:Y46)</f>
        <v>256614.38612974423</v>
      </c>
      <c r="Z47" s="379">
        <f>SUM(Z7:Z46)</f>
        <v>6614.3861297442254</v>
      </c>
      <c r="AA47" s="381">
        <f>SUM(AA7:AA46)</f>
        <v>250000</v>
      </c>
      <c r="AB47" s="384" t="s">
        <v>4</v>
      </c>
      <c r="AC47" s="385" t="s">
        <v>4</v>
      </c>
      <c r="AD47" s="381"/>
      <c r="AE47" s="386">
        <f t="shared" ref="AE47:AL47" si="26">SUM(AE7:AE46)</f>
        <v>308227.36082534131</v>
      </c>
      <c r="AF47" s="387">
        <f t="shared" si="26"/>
        <v>58227.360825341071</v>
      </c>
      <c r="AG47" s="386">
        <f t="shared" si="26"/>
        <v>250000.00000000006</v>
      </c>
      <c r="AH47" s="384">
        <f t="shared" si="26"/>
        <v>1205684.0206335268</v>
      </c>
      <c r="AI47" s="388">
        <f t="shared" si="26"/>
        <v>3985620.7875918238</v>
      </c>
      <c r="AJ47" s="494">
        <f>SUM(AJ7:AJ46)</f>
        <v>951419.12822809257</v>
      </c>
      <c r="AK47" s="389">
        <f t="shared" si="26"/>
        <v>60000</v>
      </c>
      <c r="AL47" s="390">
        <f t="shared" si="26"/>
        <v>6000000</v>
      </c>
      <c r="AM47" s="390">
        <f>AI48+AK47+AL47</f>
        <v>7045620.7875918243</v>
      </c>
      <c r="AN47" s="390">
        <f>AM47-J47</f>
        <v>5516239.1275089411</v>
      </c>
      <c r="AO47" s="391">
        <f>'Test de compensation'!C177</f>
        <v>2000000</v>
      </c>
      <c r="AP47" s="392">
        <f>'Test de compensation'!C180</f>
        <v>0</v>
      </c>
      <c r="AQ47" s="392">
        <f>SUM(AQ7:AQ46)</f>
        <v>400000</v>
      </c>
      <c r="AR47" s="392">
        <f>SUM(AR7:AR46)</f>
        <v>10000</v>
      </c>
      <c r="AS47" s="392">
        <f t="shared" si="9"/>
        <v>2410000</v>
      </c>
      <c r="AT47" s="390"/>
      <c r="AU47" s="392">
        <f>SUM(AU7:AU46)</f>
        <v>516850.88527609641</v>
      </c>
      <c r="AV47" s="393">
        <f>AN47+AU47</f>
        <v>6033090.012785038</v>
      </c>
      <c r="AW47" s="390">
        <f>AV47-AS47</f>
        <v>3623090.012785038</v>
      </c>
      <c r="AX47" s="2"/>
    </row>
    <row r="48" spans="1:50" ht="12.75" customHeight="1" thickBot="1" x14ac:dyDescent="0.3">
      <c r="A48" s="394" t="s">
        <v>4</v>
      </c>
      <c r="B48" s="394"/>
      <c r="C48" s="394"/>
      <c r="D48" s="394"/>
      <c r="E48" s="394"/>
      <c r="F48" s="65"/>
      <c r="G48" s="65"/>
      <c r="H48" s="394"/>
      <c r="I48" s="394"/>
      <c r="J48" s="395" t="s">
        <v>4</v>
      </c>
      <c r="K48" s="387"/>
      <c r="L48" s="387"/>
      <c r="M48" s="394"/>
      <c r="N48" s="394"/>
      <c r="O48" s="394"/>
      <c r="P48" s="394"/>
      <c r="Q48" s="394"/>
      <c r="R48" s="394"/>
      <c r="S48" s="394"/>
      <c r="T48" s="394"/>
      <c r="U48" s="394"/>
      <c r="V48" s="394"/>
      <c r="W48" s="394"/>
      <c r="X48" s="394"/>
      <c r="Y48" s="394"/>
      <c r="Z48" s="394"/>
      <c r="AA48" s="394"/>
      <c r="AB48" s="394"/>
      <c r="AC48" s="362" t="s">
        <v>4</v>
      </c>
      <c r="AD48" s="394"/>
      <c r="AE48" s="534" t="s">
        <v>315</v>
      </c>
      <c r="AF48" s="534"/>
      <c r="AG48" s="534"/>
      <c r="AH48" s="534"/>
      <c r="AI48" s="396">
        <f>AI47-'Test de compensation'!D133</f>
        <v>985620.78759182384</v>
      </c>
      <c r="AJ48" s="402" t="s">
        <v>4</v>
      </c>
      <c r="AK48" s="395"/>
      <c r="AL48" s="395"/>
      <c r="AM48" s="397" t="s">
        <v>4</v>
      </c>
      <c r="AN48" s="398"/>
      <c r="AO48" s="535" t="s">
        <v>316</v>
      </c>
      <c r="AP48" s="535"/>
      <c r="AQ48" s="535"/>
      <c r="AR48" s="535"/>
      <c r="AS48" s="399">
        <f>AS47/AE3*0.1</f>
        <v>9640</v>
      </c>
      <c r="AT48" s="400"/>
      <c r="AU48" s="306"/>
      <c r="AV48" s="306" t="s">
        <v>4</v>
      </c>
      <c r="AW48" s="306" t="s">
        <v>4</v>
      </c>
    </row>
    <row r="49" spans="1:49" ht="12.75" customHeight="1" x14ac:dyDescent="0.25">
      <c r="A49" s="395" t="s">
        <v>317</v>
      </c>
      <c r="B49" s="394"/>
      <c r="C49" s="394"/>
      <c r="D49" s="394"/>
      <c r="E49" s="394"/>
      <c r="F49" s="65"/>
      <c r="G49" s="65"/>
      <c r="H49" s="394"/>
      <c r="I49" s="394"/>
      <c r="J49" s="536" t="s">
        <v>4</v>
      </c>
      <c r="K49" s="536"/>
      <c r="L49" s="536"/>
      <c r="M49" s="536"/>
      <c r="N49" s="394"/>
      <c r="O49" s="394"/>
      <c r="P49" s="394"/>
      <c r="Q49" s="394"/>
      <c r="R49" s="394"/>
      <c r="S49" s="394"/>
      <c r="T49" s="394"/>
      <c r="U49" s="394"/>
      <c r="V49" s="394"/>
      <c r="W49" s="394"/>
      <c r="X49" s="394"/>
      <c r="Y49" s="394"/>
      <c r="Z49" s="394"/>
      <c r="AA49" s="394"/>
      <c r="AB49" s="394" t="s">
        <v>4</v>
      </c>
      <c r="AC49" s="362" t="s">
        <v>4</v>
      </c>
      <c r="AD49" s="394"/>
      <c r="AE49" s="394"/>
      <c r="AF49" s="394"/>
      <c r="AG49" s="394"/>
      <c r="AH49" s="394" t="s">
        <v>4</v>
      </c>
      <c r="AI49" s="395"/>
      <c r="AJ49" s="65" t="s">
        <v>4</v>
      </c>
      <c r="AK49" s="21"/>
      <c r="AL49" s="21"/>
      <c r="AM49" s="21"/>
      <c r="AN49" s="21"/>
      <c r="AO49" s="21"/>
      <c r="AP49" s="21"/>
      <c r="AQ49" s="21"/>
      <c r="AR49" s="21"/>
      <c r="AS49" s="306" t="s">
        <v>4</v>
      </c>
      <c r="AT49" s="306"/>
      <c r="AV49" s="403" t="s">
        <v>4</v>
      </c>
      <c r="AW49" s="404" t="s">
        <v>4</v>
      </c>
    </row>
    <row r="50" spans="1:49" ht="12.75" customHeight="1" thickBot="1" x14ac:dyDescent="0.3">
      <c r="A50" s="395" t="s">
        <v>4</v>
      </c>
      <c r="B50" s="365"/>
      <c r="C50" s="405" t="s">
        <v>318</v>
      </c>
      <c r="D50" s="406"/>
      <c r="E50" s="406"/>
      <c r="F50" s="407"/>
      <c r="G50" s="407"/>
      <c r="H50" s="406"/>
      <c r="I50" s="406"/>
      <c r="J50" s="401"/>
      <c r="K50" s="401"/>
      <c r="L50" s="408"/>
      <c r="M50" s="409" t="s">
        <v>319</v>
      </c>
      <c r="N50" s="406"/>
      <c r="O50" s="406"/>
      <c r="P50" s="406"/>
      <c r="Q50" s="406"/>
      <c r="R50" s="406"/>
      <c r="S50" s="406"/>
      <c r="T50" s="406"/>
      <c r="U50" s="406"/>
      <c r="V50" s="406"/>
      <c r="W50" s="406"/>
      <c r="X50" s="406"/>
      <c r="Y50" s="406"/>
      <c r="Z50" s="406"/>
      <c r="AA50" s="406"/>
      <c r="AB50" s="406"/>
      <c r="AC50" s="410" t="s">
        <v>4</v>
      </c>
      <c r="AD50" s="406"/>
      <c r="AE50" s="406"/>
      <c r="AF50" s="406"/>
      <c r="AG50" s="406"/>
      <c r="AH50" s="406"/>
      <c r="AI50" s="405"/>
      <c r="AJ50" s="407"/>
      <c r="AK50" s="411"/>
      <c r="AL50" s="411"/>
      <c r="AM50" s="21"/>
      <c r="AN50" s="412"/>
      <c r="AO50" s="307" t="s">
        <v>320</v>
      </c>
      <c r="AP50" s="411"/>
      <c r="AQ50" s="411"/>
      <c r="AR50" s="411"/>
      <c r="AS50" s="365"/>
      <c r="AT50" s="394"/>
      <c r="AU50" s="307" t="s">
        <v>321</v>
      </c>
      <c r="AV50" s="413"/>
      <c r="AW50" s="414"/>
    </row>
    <row r="51" spans="1:49" ht="12.75" customHeight="1" x14ac:dyDescent="0.25">
      <c r="A51" s="415" t="s">
        <v>4</v>
      </c>
      <c r="B51" s="415"/>
      <c r="C51" s="415" t="s">
        <v>322</v>
      </c>
      <c r="D51" s="415" t="s">
        <v>4</v>
      </c>
      <c r="E51" s="415"/>
      <c r="F51" s="415"/>
      <c r="G51" s="415" t="s">
        <v>4</v>
      </c>
      <c r="H51" s="416"/>
      <c r="I51" s="417"/>
      <c r="J51" s="418" t="s">
        <v>322</v>
      </c>
      <c r="K51" s="418"/>
      <c r="L51" s="419"/>
      <c r="M51" s="420" t="s">
        <v>322</v>
      </c>
      <c r="N51" s="415"/>
      <c r="O51" s="415"/>
      <c r="P51" s="415"/>
      <c r="Q51" s="415"/>
      <c r="R51" s="415"/>
      <c r="S51" s="415"/>
      <c r="T51" s="415" t="s">
        <v>322</v>
      </c>
      <c r="U51" s="415"/>
      <c r="V51" s="415"/>
      <c r="W51" s="415"/>
      <c r="X51" s="415"/>
      <c r="Y51" s="415"/>
      <c r="Z51" s="415" t="s">
        <v>322</v>
      </c>
      <c r="AA51" s="415"/>
      <c r="AB51" s="415" t="s">
        <v>4</v>
      </c>
      <c r="AC51" s="415"/>
      <c r="AD51" s="415"/>
      <c r="AE51" s="415"/>
      <c r="AF51" s="415"/>
      <c r="AG51" s="415"/>
      <c r="AH51" s="415"/>
      <c r="AI51" s="415" t="s">
        <v>323</v>
      </c>
      <c r="AJ51" s="415"/>
      <c r="AK51" s="421"/>
      <c r="AL51" s="422"/>
      <c r="AM51" s="421" t="s">
        <v>322</v>
      </c>
      <c r="AN51" s="421"/>
      <c r="AO51" s="421" t="s">
        <v>322</v>
      </c>
      <c r="AP51" s="421"/>
      <c r="AQ51" s="421"/>
      <c r="AR51" s="421"/>
      <c r="AS51" s="423"/>
      <c r="AT51" s="415"/>
      <c r="AU51" s="421" t="s">
        <v>322</v>
      </c>
      <c r="AV51" s="186" t="s">
        <v>4</v>
      </c>
      <c r="AW51" s="416"/>
    </row>
    <row r="52" spans="1:49" ht="57" customHeight="1" x14ac:dyDescent="0.25">
      <c r="A52" s="424" t="s">
        <v>4</v>
      </c>
      <c r="B52" s="424"/>
      <c r="C52" s="425" t="s">
        <v>324</v>
      </c>
      <c r="D52" s="425" t="s">
        <v>325</v>
      </c>
      <c r="E52" s="425" t="s">
        <v>326</v>
      </c>
      <c r="F52" s="426" t="s">
        <v>327</v>
      </c>
      <c r="G52" s="426" t="s">
        <v>278</v>
      </c>
      <c r="H52" s="427" t="s">
        <v>328</v>
      </c>
      <c r="I52" s="428" t="s">
        <v>138</v>
      </c>
      <c r="J52" s="429" t="s">
        <v>225</v>
      </c>
      <c r="K52" s="430"/>
      <c r="L52" s="431"/>
      <c r="M52" s="394"/>
      <c r="N52" s="432" t="s">
        <v>329</v>
      </c>
      <c r="O52" s="394"/>
      <c r="P52" s="394"/>
      <c r="Q52" s="394"/>
      <c r="R52" s="394"/>
      <c r="S52" s="394"/>
      <c r="T52" s="432" t="s">
        <v>329</v>
      </c>
      <c r="U52" s="394"/>
      <c r="V52" s="394"/>
      <c r="W52" s="394"/>
      <c r="X52" s="394"/>
      <c r="Y52" s="394"/>
      <c r="Z52" s="432" t="s">
        <v>329</v>
      </c>
      <c r="AA52" s="394"/>
      <c r="AB52" s="394"/>
      <c r="AC52" s="394"/>
      <c r="AD52" s="394"/>
      <c r="AE52" s="394"/>
      <c r="AF52" s="432" t="s">
        <v>329</v>
      </c>
      <c r="AG52" s="394"/>
      <c r="AH52" s="394"/>
      <c r="AI52" s="537" t="s">
        <v>438</v>
      </c>
      <c r="AJ52" s="537"/>
      <c r="AK52" s="433" t="s">
        <v>330</v>
      </c>
      <c r="AL52" s="434" t="s">
        <v>331</v>
      </c>
      <c r="AM52" s="435" t="s">
        <v>209</v>
      </c>
      <c r="AN52" s="337" t="s">
        <v>308</v>
      </c>
      <c r="AO52" s="433" t="s">
        <v>332</v>
      </c>
      <c r="AP52" s="433" t="s">
        <v>241</v>
      </c>
      <c r="AQ52" s="433" t="s">
        <v>333</v>
      </c>
      <c r="AR52" s="433" t="s">
        <v>334</v>
      </c>
      <c r="AS52" s="436" t="s">
        <v>335</v>
      </c>
      <c r="AT52" s="435"/>
      <c r="AU52" s="435" t="s">
        <v>229</v>
      </c>
      <c r="AV52" s="337" t="s">
        <v>231</v>
      </c>
      <c r="AW52" s="437" t="s">
        <v>336</v>
      </c>
    </row>
    <row r="53" spans="1:49" ht="12.75" customHeight="1" x14ac:dyDescent="0.25">
      <c r="A53" s="438" t="s">
        <v>4</v>
      </c>
      <c r="B53" s="438"/>
      <c r="C53" s="439">
        <f>NPV($J$2,C7:C46)</f>
        <v>96639.88235294052</v>
      </c>
      <c r="D53" s="439">
        <f>NPV(J2,D7:D46)</f>
        <v>1149273.0774880641</v>
      </c>
      <c r="E53" s="439">
        <f>NPV(J2,E7:E46)</f>
        <v>-37377.388795230116</v>
      </c>
      <c r="F53" s="439">
        <f>F47</f>
        <v>111750</v>
      </c>
      <c r="G53" s="439">
        <f>G47</f>
        <v>-44700</v>
      </c>
      <c r="H53" s="439">
        <f>NPV($J$2,H7:H46)</f>
        <v>29411.764705882353</v>
      </c>
      <c r="I53" s="439">
        <f>I47</f>
        <v>0</v>
      </c>
      <c r="J53" s="440">
        <f>C53+D53+E53+F53+G53+H53+I53</f>
        <v>1304997.3357516569</v>
      </c>
      <c r="K53" s="441"/>
      <c r="L53" s="442"/>
      <c r="M53" s="443" t="s">
        <v>4</v>
      </c>
      <c r="N53" s="439">
        <f>NPV($J$2,N7:N46)</f>
        <v>507281.67741092452</v>
      </c>
      <c r="O53" s="444" t="s">
        <v>4</v>
      </c>
      <c r="P53" s="445"/>
      <c r="Q53" s="443"/>
      <c r="R53" s="443"/>
      <c r="S53" s="443" t="s">
        <v>4</v>
      </c>
      <c r="T53" s="439">
        <f>NPV($J$2,T7:T46)</f>
        <v>245127.05089651505</v>
      </c>
      <c r="U53" s="443"/>
      <c r="V53" s="445"/>
      <c r="W53" s="443"/>
      <c r="X53" s="443"/>
      <c r="Y53" s="443" t="s">
        <v>4</v>
      </c>
      <c r="Z53" s="439">
        <f>NPV($J$2,Z7:Z46)</f>
        <v>5742.7640709627176</v>
      </c>
      <c r="AA53" s="443"/>
      <c r="AB53" s="443" t="s">
        <v>4</v>
      </c>
      <c r="AC53" s="443"/>
      <c r="AD53" s="446"/>
      <c r="AE53" s="443" t="s">
        <v>4</v>
      </c>
      <c r="AF53" s="439">
        <f>NPV($J$2,AF7:AF46)</f>
        <v>53735.693972665147</v>
      </c>
      <c r="AG53" s="443"/>
      <c r="AH53" s="443" t="s">
        <v>4</v>
      </c>
      <c r="AI53" s="392"/>
      <c r="AJ53" s="496">
        <f>NPV($J$2,AJ7:AJ46)</f>
        <v>792638.0073068135</v>
      </c>
      <c r="AK53" s="447">
        <f>AK47</f>
        <v>60000</v>
      </c>
      <c r="AL53" s="448">
        <f>AL47</f>
        <v>6000000</v>
      </c>
      <c r="AM53" s="497">
        <f>AL53+AJ53+AK53</f>
        <v>6852638.0073068133</v>
      </c>
      <c r="AN53" s="449">
        <f>AM53-J53</f>
        <v>5547640.6715551559</v>
      </c>
      <c r="AO53" s="448">
        <f>AO47</f>
        <v>2000000</v>
      </c>
      <c r="AP53" s="448">
        <f>AP47</f>
        <v>0</v>
      </c>
      <c r="AQ53" s="439">
        <f>NPV($J$2,AQ7:AQ46)</f>
        <v>384467.5124951941</v>
      </c>
      <c r="AR53" s="439">
        <f>NPV($J$2,AR7:AR46)</f>
        <v>9611.6878123798542</v>
      </c>
      <c r="AS53" s="440">
        <f>AO53+AP53+AQ53+AR53</f>
        <v>2394079.2003075741</v>
      </c>
      <c r="AT53" s="440"/>
      <c r="AU53" s="439">
        <f>NPV($J$2,AU7:AU46)</f>
        <v>430656.07532344275</v>
      </c>
      <c r="AV53" s="450">
        <f>AN53+AU53</f>
        <v>5978296.7468785988</v>
      </c>
      <c r="AW53" s="451">
        <f>AV53-AS53</f>
        <v>3584217.5465710247</v>
      </c>
    </row>
    <row r="54" spans="1:49" ht="12.75" customHeight="1" x14ac:dyDescent="0.25">
      <c r="A54" s="538" t="s">
        <v>4</v>
      </c>
      <c r="B54" s="538"/>
      <c r="C54" s="538"/>
      <c r="D54" s="538"/>
      <c r="E54" s="160"/>
      <c r="F54" s="160"/>
      <c r="G54" s="160"/>
      <c r="H54" s="160"/>
      <c r="I54" s="160"/>
      <c r="J54" s="160" t="s">
        <v>4</v>
      </c>
      <c r="K54" s="160"/>
      <c r="L54" s="160"/>
      <c r="M54" s="452" t="s">
        <v>4</v>
      </c>
      <c r="N54" s="452"/>
      <c r="O54" s="452"/>
      <c r="P54" s="452"/>
      <c r="Q54" s="452"/>
      <c r="R54" s="452"/>
      <c r="S54" s="452" t="s">
        <v>4</v>
      </c>
      <c r="T54" s="452"/>
      <c r="U54" s="452"/>
      <c r="V54" s="452"/>
      <c r="W54" s="452"/>
      <c r="X54" s="452"/>
      <c r="Y54" s="452" t="s">
        <v>4</v>
      </c>
      <c r="Z54" s="452"/>
      <c r="AA54" s="452"/>
      <c r="AB54" s="452" t="s">
        <v>4</v>
      </c>
      <c r="AC54" s="452"/>
      <c r="AD54" s="452"/>
      <c r="AE54" s="452" t="s">
        <v>4</v>
      </c>
      <c r="AF54" s="452"/>
      <c r="AG54" s="452"/>
      <c r="AH54" s="452" t="s">
        <v>4</v>
      </c>
      <c r="AI54" s="453" t="s">
        <v>4</v>
      </c>
      <c r="AJ54" s="454" t="s">
        <v>4</v>
      </c>
      <c r="AK54" s="455"/>
      <c r="AL54" s="456"/>
      <c r="AM54" s="456" t="s">
        <v>4</v>
      </c>
      <c r="AN54" s="456" t="s">
        <v>4</v>
      </c>
      <c r="AO54" s="539" t="s">
        <v>337</v>
      </c>
      <c r="AP54" s="539"/>
      <c r="AQ54" s="539"/>
      <c r="AR54" s="539"/>
      <c r="AS54" s="457">
        <f>AS53/'Calculs détaillés'!S3*0.1</f>
        <v>9576.3168012302976</v>
      </c>
      <c r="AT54" s="457"/>
      <c r="AU54" s="304"/>
      <c r="AV54" s="458" t="s">
        <v>4</v>
      </c>
      <c r="AW54" s="458" t="s">
        <v>4</v>
      </c>
    </row>
    <row r="55" spans="1:49" ht="12.75" customHeight="1" x14ac:dyDescent="0.25">
      <c r="M55" s="6"/>
      <c r="R55" s="6"/>
      <c r="T55" s="6"/>
      <c r="U55" s="6"/>
      <c r="V55" s="6"/>
      <c r="W55" s="6"/>
      <c r="X55" s="6"/>
      <c r="Y55" s="6"/>
      <c r="Z55" s="6"/>
      <c r="AA55" s="6"/>
      <c r="AE55" s="6"/>
      <c r="AG55" s="6"/>
      <c r="AH55" s="6"/>
      <c r="AI55" s="6"/>
      <c r="AJ55" s="6"/>
    </row>
    <row r="56" spans="1:49" ht="15" customHeight="1" x14ac:dyDescent="0.25">
      <c r="A56" s="459" t="s">
        <v>4</v>
      </c>
      <c r="B56" t="s">
        <v>4</v>
      </c>
      <c r="H56" s="459" t="s">
        <v>4</v>
      </c>
      <c r="I56" s="459"/>
    </row>
    <row r="57" spans="1:49" ht="45" customHeight="1" x14ac:dyDescent="0.25">
      <c r="A57" s="532" t="s">
        <v>4</v>
      </c>
      <c r="B57" s="532"/>
      <c r="C57" s="532"/>
      <c r="D57" s="532"/>
      <c r="E57" s="532"/>
      <c r="H57" s="532" t="s">
        <v>4</v>
      </c>
      <c r="I57" s="532"/>
      <c r="J57" s="532"/>
      <c r="K57" s="532"/>
      <c r="L57" s="532"/>
      <c r="M57" s="532"/>
      <c r="N57" s="460"/>
      <c r="O57" s="460"/>
      <c r="P57" s="460"/>
      <c r="Q57" s="460"/>
      <c r="R57" s="460"/>
    </row>
    <row r="58" spans="1:49" ht="12.75" customHeight="1" x14ac:dyDescent="0.25">
      <c r="A58" t="s">
        <v>4</v>
      </c>
      <c r="E58" s="461" t="s">
        <v>4</v>
      </c>
      <c r="H58" s="461" t="s">
        <v>4</v>
      </c>
      <c r="I58" s="461"/>
      <c r="N58" s="462"/>
      <c r="O58" s="462"/>
      <c r="P58" s="462"/>
      <c r="Q58" s="462"/>
      <c r="R58" s="462"/>
      <c r="S58" s="461"/>
      <c r="T58" s="461"/>
      <c r="U58" s="461"/>
      <c r="V58" s="461"/>
      <c r="W58" s="461"/>
      <c r="X58" s="461"/>
      <c r="Y58" s="461"/>
      <c r="Z58" s="461"/>
      <c r="AA58" s="461"/>
      <c r="AB58" s="461"/>
      <c r="AC58" s="461"/>
      <c r="AD58" s="461"/>
      <c r="AE58" s="461"/>
      <c r="AF58" s="461"/>
      <c r="AG58" s="461"/>
      <c r="AH58" s="461"/>
      <c r="AI58" s="461"/>
      <c r="AJ58" s="461"/>
      <c r="AU58" s="6"/>
    </row>
    <row r="59" spans="1:49" ht="12.75" customHeight="1" x14ac:dyDescent="0.25">
      <c r="A59" t="s">
        <v>4</v>
      </c>
      <c r="E59" s="463" t="s">
        <v>4</v>
      </c>
      <c r="H59" s="461" t="s">
        <v>4</v>
      </c>
      <c r="I59" s="461"/>
      <c r="N59" s="461"/>
      <c r="O59" s="461"/>
      <c r="P59" s="461"/>
      <c r="Q59" s="461"/>
      <c r="R59" s="461"/>
      <c r="S59" s="461"/>
      <c r="T59" s="461"/>
      <c r="U59" s="461"/>
      <c r="V59" s="461"/>
      <c r="W59" s="461"/>
      <c r="X59" s="461"/>
      <c r="Y59" s="461"/>
      <c r="Z59" s="461"/>
      <c r="AA59" s="461"/>
      <c r="AB59" s="461"/>
      <c r="AC59" s="461"/>
      <c r="AD59" s="461"/>
      <c r="AE59" s="461"/>
      <c r="AF59" s="461"/>
      <c r="AG59" s="461"/>
      <c r="AH59" s="461"/>
      <c r="AI59" s="461"/>
      <c r="AJ59" s="461"/>
    </row>
    <row r="60" spans="1:49" ht="12.75" customHeight="1" x14ac:dyDescent="0.25">
      <c r="A60" s="464" t="s">
        <v>4</v>
      </c>
      <c r="E60" s="462" t="s">
        <v>4</v>
      </c>
      <c r="H60" s="461" t="s">
        <v>4</v>
      </c>
      <c r="I60" s="461"/>
      <c r="N60" s="465"/>
      <c r="O60" s="465"/>
      <c r="P60" s="465"/>
      <c r="Q60" s="465"/>
      <c r="R60" s="465"/>
      <c r="S60" s="461"/>
      <c r="T60" s="461"/>
      <c r="U60" s="461"/>
      <c r="V60" s="461"/>
      <c r="W60" s="461"/>
      <c r="X60" s="461"/>
      <c r="Y60" s="461"/>
      <c r="Z60" s="461"/>
      <c r="AA60" s="461"/>
      <c r="AB60" s="461"/>
      <c r="AC60" s="461"/>
      <c r="AD60" s="461"/>
      <c r="AE60" s="461"/>
      <c r="AF60" s="461"/>
      <c r="AG60" s="461"/>
      <c r="AH60" s="461"/>
      <c r="AI60" s="461"/>
      <c r="AJ60" s="461"/>
    </row>
    <row r="61" spans="1:49" ht="12.75" customHeight="1" x14ac:dyDescent="0.25">
      <c r="A61" t="s">
        <v>4</v>
      </c>
      <c r="E61" s="465" t="s">
        <v>4</v>
      </c>
      <c r="H61" s="461" t="s">
        <v>4</v>
      </c>
      <c r="I61" s="461"/>
      <c r="N61" s="461"/>
      <c r="O61" s="461"/>
      <c r="P61" s="461"/>
      <c r="Q61" s="461"/>
      <c r="R61" s="461"/>
      <c r="S61" s="461"/>
      <c r="T61" s="461"/>
      <c r="U61" s="461"/>
      <c r="V61" s="461"/>
      <c r="W61" s="461"/>
      <c r="X61" s="461"/>
      <c r="Y61" s="461"/>
      <c r="Z61" s="461"/>
      <c r="AA61" s="461"/>
      <c r="AB61" s="461"/>
      <c r="AC61" s="461"/>
      <c r="AD61" s="461"/>
      <c r="AE61" s="461"/>
      <c r="AF61" s="461"/>
      <c r="AG61" s="461"/>
      <c r="AH61" s="461"/>
      <c r="AI61" s="461"/>
      <c r="AJ61" s="461"/>
    </row>
    <row r="62" spans="1:49" ht="12.75" customHeight="1" x14ac:dyDescent="0.25">
      <c r="A62" t="s">
        <v>4</v>
      </c>
      <c r="E62" s="461" t="s">
        <v>4</v>
      </c>
      <c r="H62" s="461" t="s">
        <v>4</v>
      </c>
      <c r="I62" s="461"/>
      <c r="N62" s="466"/>
      <c r="O62" s="466"/>
      <c r="P62" s="466"/>
      <c r="Q62" s="466"/>
      <c r="R62" s="466"/>
      <c r="S62" s="461"/>
      <c r="T62" s="461"/>
      <c r="U62" s="461"/>
      <c r="V62" s="461"/>
      <c r="W62" s="461"/>
      <c r="X62" s="461"/>
      <c r="Y62" s="461"/>
      <c r="Z62" s="461"/>
      <c r="AA62" s="461"/>
      <c r="AB62" s="461"/>
      <c r="AC62" s="461"/>
      <c r="AD62" s="461"/>
      <c r="AE62" s="461"/>
      <c r="AF62" s="461"/>
      <c r="AG62" s="461"/>
      <c r="AH62" s="461"/>
      <c r="AI62" s="461"/>
      <c r="AJ62" s="461"/>
    </row>
    <row r="63" spans="1:49" ht="12.75" customHeight="1" x14ac:dyDescent="0.25">
      <c r="A63" t="s">
        <v>4</v>
      </c>
      <c r="D63" s="466" t="s">
        <v>4</v>
      </c>
      <c r="E63" s="467" t="s">
        <v>4</v>
      </c>
      <c r="H63" s="461" t="s">
        <v>4</v>
      </c>
      <c r="I63" s="461"/>
      <c r="N63" s="462"/>
      <c r="O63" s="462"/>
      <c r="P63" s="462"/>
      <c r="Q63" s="462"/>
      <c r="R63" s="462"/>
      <c r="S63" s="461"/>
      <c r="T63" s="461"/>
      <c r="U63" s="461"/>
      <c r="V63" s="461"/>
      <c r="W63" s="461"/>
      <c r="X63" s="461"/>
      <c r="Y63" s="461"/>
      <c r="Z63" s="461"/>
      <c r="AA63" s="461"/>
      <c r="AB63" s="461"/>
      <c r="AC63" s="461"/>
      <c r="AD63" s="461"/>
      <c r="AE63" s="461"/>
      <c r="AF63" s="461"/>
      <c r="AG63" s="461"/>
      <c r="AH63" s="461"/>
      <c r="AI63" s="461"/>
      <c r="AJ63" s="461"/>
    </row>
    <row r="64" spans="1:49" ht="12.75" customHeight="1" x14ac:dyDescent="0.25">
      <c r="A64" t="s">
        <v>4</v>
      </c>
      <c r="H64" s="461" t="s">
        <v>4</v>
      </c>
      <c r="I64" s="461"/>
      <c r="N64" s="468"/>
      <c r="O64" s="468"/>
      <c r="P64" s="468"/>
      <c r="Q64" s="468"/>
      <c r="R64" s="468"/>
      <c r="S64" s="461"/>
      <c r="T64" s="461"/>
      <c r="U64" s="461"/>
      <c r="V64" s="461"/>
      <c r="W64" s="461"/>
      <c r="X64" s="461"/>
      <c r="Y64" s="461"/>
      <c r="Z64" s="461"/>
      <c r="AA64" s="461"/>
      <c r="AB64" s="461"/>
      <c r="AC64" s="461"/>
      <c r="AD64" s="461"/>
      <c r="AE64" s="461"/>
      <c r="AF64" s="461"/>
      <c r="AG64" s="461"/>
      <c r="AH64" s="461"/>
      <c r="AI64" s="461"/>
      <c r="AJ64" s="461"/>
    </row>
    <row r="65" spans="1:36" ht="12.75" customHeight="1" x14ac:dyDescent="0.25">
      <c r="A65" s="12" t="s">
        <v>4</v>
      </c>
      <c r="B65" s="6" t="s">
        <v>4</v>
      </c>
      <c r="C65" s="6" t="s">
        <v>4</v>
      </c>
      <c r="D65" s="6" t="s">
        <v>4</v>
      </c>
      <c r="E65" s="6" t="s">
        <v>4</v>
      </c>
      <c r="H65" s="30" t="s">
        <v>4</v>
      </c>
      <c r="I65" s="30"/>
      <c r="J65" s="469"/>
      <c r="K65" s="469"/>
      <c r="L65" s="469"/>
      <c r="M65" s="6"/>
      <c r="N65" s="469"/>
      <c r="O65" s="469"/>
      <c r="P65" s="469"/>
      <c r="Q65" s="469"/>
      <c r="R65" s="469"/>
      <c r="S65" s="461"/>
      <c r="T65" s="461"/>
      <c r="U65" s="461"/>
      <c r="V65" s="461"/>
      <c r="W65" s="461"/>
      <c r="X65" s="461"/>
      <c r="Y65" s="461"/>
      <c r="Z65" s="461"/>
      <c r="AA65" s="461"/>
      <c r="AB65" s="461"/>
      <c r="AC65" s="461"/>
      <c r="AD65" s="461"/>
      <c r="AE65" s="461"/>
      <c r="AF65" s="461"/>
      <c r="AG65" s="461"/>
      <c r="AH65" s="461"/>
      <c r="AI65" s="461"/>
      <c r="AJ65" s="461"/>
    </row>
    <row r="66" spans="1:36" ht="12.75" customHeight="1" x14ac:dyDescent="0.25">
      <c r="A66" s="470" t="s">
        <v>4</v>
      </c>
      <c r="B66" s="471" t="s">
        <v>4</v>
      </c>
      <c r="C66" s="472" t="s">
        <v>4</v>
      </c>
      <c r="D66" s="471" t="s">
        <v>4</v>
      </c>
      <c r="E66" s="471" t="s">
        <v>4</v>
      </c>
      <c r="F66" s="461"/>
      <c r="G66" s="461"/>
      <c r="H66" s="473" t="s">
        <v>4</v>
      </c>
      <c r="I66" s="473"/>
      <c r="J66" s="471"/>
      <c r="K66" s="471"/>
      <c r="L66" s="471"/>
      <c r="M66" s="6"/>
      <c r="N66" s="471"/>
      <c r="O66" s="471"/>
      <c r="P66" s="471"/>
      <c r="Q66" s="471"/>
      <c r="R66" s="471"/>
      <c r="S66" s="461"/>
      <c r="T66" s="461"/>
      <c r="U66" s="461"/>
      <c r="V66" s="461"/>
      <c r="W66" s="461"/>
      <c r="X66" s="461"/>
      <c r="Y66" s="461"/>
      <c r="Z66" s="461"/>
      <c r="AA66" s="461"/>
      <c r="AB66" s="461"/>
      <c r="AC66" s="461"/>
      <c r="AD66" s="461"/>
      <c r="AE66" s="461"/>
      <c r="AF66" s="461"/>
      <c r="AG66" s="461"/>
      <c r="AH66" s="461"/>
      <c r="AI66" s="461"/>
      <c r="AJ66" s="461"/>
    </row>
    <row r="67" spans="1:36" ht="12.75" customHeight="1" x14ac:dyDescent="0.25">
      <c r="A67" s="470" t="s">
        <v>4</v>
      </c>
      <c r="B67" s="471" t="str">
        <f t="shared" ref="B67:B85" si="27">B66</f>
        <v xml:space="preserve"> </v>
      </c>
      <c r="C67" s="472" t="s">
        <v>4</v>
      </c>
      <c r="D67" s="471" t="s">
        <v>4</v>
      </c>
      <c r="E67" s="471" t="s">
        <v>4</v>
      </c>
      <c r="F67" s="461"/>
      <c r="G67" s="461"/>
      <c r="H67" s="473" t="s">
        <v>4</v>
      </c>
      <c r="I67" s="473"/>
      <c r="J67" s="471"/>
      <c r="K67" s="471"/>
      <c r="L67" s="471"/>
      <c r="M67" s="6"/>
      <c r="N67" s="471"/>
      <c r="O67" s="471"/>
      <c r="P67" s="471"/>
      <c r="Q67" s="471"/>
      <c r="R67" s="471"/>
      <c r="S67" s="461"/>
      <c r="T67" s="461"/>
      <c r="U67" s="461"/>
      <c r="V67" s="461"/>
      <c r="W67" s="461"/>
      <c r="X67" s="461"/>
      <c r="Y67" s="461"/>
      <c r="Z67" s="461"/>
      <c r="AA67" s="461"/>
      <c r="AB67" s="461"/>
      <c r="AC67" s="461"/>
      <c r="AD67" s="461"/>
      <c r="AE67" s="461"/>
      <c r="AF67" s="461"/>
      <c r="AG67" s="461"/>
      <c r="AH67" s="461"/>
      <c r="AI67" s="461"/>
      <c r="AJ67" s="461"/>
    </row>
    <row r="68" spans="1:36" ht="12.75" customHeight="1" x14ac:dyDescent="0.25">
      <c r="A68" s="470" t="s">
        <v>4</v>
      </c>
      <c r="B68" s="471" t="str">
        <f t="shared" si="27"/>
        <v xml:space="preserve"> </v>
      </c>
      <c r="C68" s="472" t="s">
        <v>4</v>
      </c>
      <c r="D68" s="471" t="s">
        <v>4</v>
      </c>
      <c r="E68" s="471" t="s">
        <v>4</v>
      </c>
      <c r="F68" s="461"/>
      <c r="G68" s="461"/>
      <c r="H68" s="473" t="s">
        <v>4</v>
      </c>
      <c r="I68" s="473"/>
      <c r="J68" s="471"/>
      <c r="K68" s="471"/>
      <c r="L68" s="471"/>
      <c r="M68" s="6"/>
      <c r="N68" s="471"/>
      <c r="O68" s="471"/>
      <c r="P68" s="471"/>
      <c r="Q68" s="471"/>
      <c r="R68" s="471"/>
      <c r="S68" s="461"/>
      <c r="T68" s="461"/>
      <c r="U68" s="461"/>
      <c r="V68" s="461"/>
      <c r="W68" s="461"/>
      <c r="X68" s="461"/>
      <c r="Y68" s="461"/>
      <c r="Z68" s="461"/>
      <c r="AA68" s="461"/>
      <c r="AB68" s="461"/>
      <c r="AC68" s="461"/>
      <c r="AD68" s="461"/>
      <c r="AE68" s="461"/>
      <c r="AF68" s="461"/>
      <c r="AG68" s="461"/>
      <c r="AH68" s="461"/>
      <c r="AI68" s="461"/>
      <c r="AJ68" s="461"/>
    </row>
    <row r="69" spans="1:36" ht="12.75" customHeight="1" x14ac:dyDescent="0.25">
      <c r="A69" s="470" t="s">
        <v>4</v>
      </c>
      <c r="B69" s="471" t="str">
        <f t="shared" si="27"/>
        <v xml:space="preserve"> </v>
      </c>
      <c r="C69" s="472" t="s">
        <v>4</v>
      </c>
      <c r="D69" s="471" t="s">
        <v>4</v>
      </c>
      <c r="E69" s="471" t="s">
        <v>4</v>
      </c>
      <c r="F69" s="461"/>
      <c r="G69" s="461"/>
      <c r="H69" s="473" t="s">
        <v>4</v>
      </c>
      <c r="I69" s="473"/>
      <c r="J69" s="471"/>
      <c r="K69" s="471"/>
      <c r="L69" s="471"/>
      <c r="M69" s="6"/>
      <c r="N69" s="471"/>
      <c r="O69" s="471"/>
      <c r="P69" s="471"/>
      <c r="Q69" s="471"/>
      <c r="R69" s="471"/>
      <c r="S69" s="461"/>
      <c r="T69" s="461"/>
      <c r="U69" s="461"/>
      <c r="V69" s="461"/>
      <c r="W69" s="461"/>
      <c r="X69" s="461"/>
      <c r="Y69" s="461"/>
      <c r="Z69" s="461"/>
      <c r="AA69" s="461"/>
      <c r="AB69" s="461"/>
      <c r="AC69" s="461"/>
      <c r="AD69" s="461"/>
      <c r="AE69" s="461"/>
      <c r="AF69" s="461"/>
      <c r="AG69" s="461"/>
      <c r="AH69" s="461"/>
      <c r="AI69" s="461"/>
      <c r="AJ69" s="461"/>
    </row>
    <row r="70" spans="1:36" ht="12.75" customHeight="1" x14ac:dyDescent="0.25">
      <c r="A70" s="470" t="s">
        <v>4</v>
      </c>
      <c r="B70" s="471" t="str">
        <f t="shared" si="27"/>
        <v xml:space="preserve"> </v>
      </c>
      <c r="C70" s="472" t="s">
        <v>4</v>
      </c>
      <c r="D70" s="471" t="s">
        <v>4</v>
      </c>
      <c r="E70" s="471" t="s">
        <v>4</v>
      </c>
      <c r="F70" s="461"/>
      <c r="G70" s="461"/>
      <c r="H70" s="473" t="s">
        <v>4</v>
      </c>
      <c r="I70" s="473"/>
      <c r="J70" s="471"/>
      <c r="K70" s="471"/>
      <c r="L70" s="471"/>
      <c r="M70" s="6"/>
      <c r="N70" s="471"/>
      <c r="O70" s="471"/>
      <c r="P70" s="471"/>
      <c r="Q70" s="471"/>
      <c r="R70" s="471"/>
      <c r="S70" s="461"/>
      <c r="T70" s="461"/>
      <c r="U70" s="461"/>
      <c r="V70" s="461"/>
      <c r="W70" s="461"/>
      <c r="X70" s="461"/>
      <c r="Y70" s="461"/>
      <c r="Z70" s="461"/>
      <c r="AA70" s="461"/>
      <c r="AB70" s="461"/>
      <c r="AC70" s="461"/>
      <c r="AD70" s="461"/>
      <c r="AE70" s="461"/>
      <c r="AF70" s="461"/>
      <c r="AG70" s="461"/>
      <c r="AH70" s="461"/>
      <c r="AI70" s="461"/>
      <c r="AJ70" s="461"/>
    </row>
    <row r="71" spans="1:36" ht="12.75" customHeight="1" x14ac:dyDescent="0.25">
      <c r="A71" s="470" t="s">
        <v>4</v>
      </c>
      <c r="B71" s="471" t="str">
        <f t="shared" si="27"/>
        <v xml:space="preserve"> </v>
      </c>
      <c r="C71" s="472" t="s">
        <v>4</v>
      </c>
      <c r="D71" s="471" t="s">
        <v>4</v>
      </c>
      <c r="E71" s="471" t="s">
        <v>4</v>
      </c>
      <c r="F71" s="461"/>
      <c r="G71" s="461"/>
      <c r="H71" s="473" t="s">
        <v>4</v>
      </c>
      <c r="I71" s="473"/>
      <c r="J71" s="471"/>
      <c r="K71" s="471"/>
      <c r="L71" s="471"/>
      <c r="M71" s="6"/>
      <c r="N71" s="471"/>
      <c r="O71" s="471"/>
      <c r="P71" s="471"/>
      <c r="Q71" s="471"/>
      <c r="R71" s="471"/>
      <c r="S71" s="461"/>
      <c r="T71" s="461"/>
      <c r="U71" s="461"/>
      <c r="V71" s="461"/>
      <c r="W71" s="461"/>
      <c r="X71" s="461"/>
      <c r="Y71" s="461"/>
      <c r="Z71" s="461"/>
      <c r="AA71" s="461"/>
      <c r="AB71" s="461"/>
      <c r="AC71" s="461"/>
      <c r="AD71" s="461"/>
      <c r="AE71" s="461"/>
      <c r="AF71" s="461"/>
      <c r="AG71" s="461"/>
      <c r="AH71" s="461"/>
      <c r="AI71" s="461"/>
      <c r="AJ71" s="461"/>
    </row>
    <row r="72" spans="1:36" ht="12.75" customHeight="1" x14ac:dyDescent="0.25">
      <c r="A72" s="470" t="s">
        <v>4</v>
      </c>
      <c r="B72" s="471" t="str">
        <f t="shared" si="27"/>
        <v xml:space="preserve"> </v>
      </c>
      <c r="C72" s="472" t="s">
        <v>4</v>
      </c>
      <c r="D72" s="471" t="s">
        <v>4</v>
      </c>
      <c r="E72" s="471" t="s">
        <v>4</v>
      </c>
      <c r="F72" s="461"/>
      <c r="G72" s="461"/>
      <c r="H72" s="473" t="s">
        <v>4</v>
      </c>
      <c r="I72" s="473"/>
      <c r="J72" s="471"/>
      <c r="K72" s="471"/>
      <c r="L72" s="471"/>
      <c r="M72" s="6"/>
      <c r="N72" s="471"/>
      <c r="O72" s="471"/>
      <c r="P72" s="471"/>
      <c r="Q72" s="471"/>
      <c r="R72" s="471"/>
      <c r="S72" s="461"/>
      <c r="T72" s="461"/>
      <c r="U72" s="461"/>
      <c r="V72" s="461"/>
      <c r="W72" s="461"/>
      <c r="X72" s="461"/>
      <c r="Y72" s="461"/>
      <c r="Z72" s="461"/>
      <c r="AA72" s="461"/>
      <c r="AB72" s="461"/>
      <c r="AC72" s="461"/>
      <c r="AD72" s="461"/>
      <c r="AE72" s="461"/>
      <c r="AF72" s="461"/>
      <c r="AG72" s="461"/>
      <c r="AH72" s="461"/>
      <c r="AI72" s="461"/>
      <c r="AJ72" s="461"/>
    </row>
    <row r="73" spans="1:36" ht="12.75" customHeight="1" x14ac:dyDescent="0.25">
      <c r="A73" s="470" t="s">
        <v>4</v>
      </c>
      <c r="B73" s="471" t="str">
        <f t="shared" si="27"/>
        <v xml:space="preserve"> </v>
      </c>
      <c r="C73" s="472" t="s">
        <v>4</v>
      </c>
      <c r="D73" s="471" t="s">
        <v>4</v>
      </c>
      <c r="E73" s="471" t="s">
        <v>4</v>
      </c>
      <c r="F73" s="461"/>
      <c r="G73" s="461"/>
      <c r="H73" s="473" t="s">
        <v>4</v>
      </c>
      <c r="I73" s="473"/>
      <c r="J73" s="471"/>
      <c r="K73" s="471"/>
      <c r="L73" s="471"/>
      <c r="M73" s="6"/>
      <c r="N73" s="471"/>
      <c r="O73" s="471"/>
      <c r="P73" s="471"/>
      <c r="Q73" s="471"/>
      <c r="R73" s="471"/>
      <c r="S73" s="461"/>
      <c r="T73" s="461"/>
      <c r="U73" s="461"/>
      <c r="V73" s="461"/>
      <c r="W73" s="461"/>
      <c r="X73" s="461"/>
      <c r="Y73" s="461"/>
      <c r="Z73" s="461"/>
      <c r="AA73" s="461"/>
      <c r="AB73" s="461"/>
      <c r="AC73" s="461"/>
      <c r="AD73" s="461"/>
      <c r="AE73" s="461"/>
      <c r="AF73" s="461"/>
      <c r="AG73" s="461"/>
      <c r="AH73" s="461"/>
      <c r="AI73" s="461"/>
      <c r="AJ73" s="461"/>
    </row>
    <row r="74" spans="1:36" ht="12.75" customHeight="1" x14ac:dyDescent="0.25">
      <c r="A74" s="470" t="s">
        <v>4</v>
      </c>
      <c r="B74" s="471" t="str">
        <f t="shared" si="27"/>
        <v xml:space="preserve"> </v>
      </c>
      <c r="C74" s="472" t="s">
        <v>4</v>
      </c>
      <c r="D74" s="471" t="s">
        <v>4</v>
      </c>
      <c r="E74" s="471" t="s">
        <v>4</v>
      </c>
      <c r="F74" s="461"/>
      <c r="G74" s="461"/>
      <c r="H74" s="473" t="s">
        <v>4</v>
      </c>
      <c r="I74" s="473"/>
      <c r="J74" s="471"/>
      <c r="K74" s="471"/>
      <c r="L74" s="471"/>
      <c r="M74" s="6"/>
      <c r="N74" s="471"/>
      <c r="O74" s="471"/>
      <c r="P74" s="471"/>
      <c r="Q74" s="471"/>
      <c r="R74" s="471"/>
      <c r="S74" s="461"/>
      <c r="T74" s="461"/>
      <c r="U74" s="461"/>
      <c r="V74" s="461"/>
      <c r="W74" s="461"/>
      <c r="X74" s="461"/>
      <c r="Y74" s="461"/>
      <c r="Z74" s="461"/>
      <c r="AA74" s="461"/>
      <c r="AB74" s="461"/>
      <c r="AC74" s="461"/>
      <c r="AD74" s="461"/>
      <c r="AE74" s="461"/>
      <c r="AF74" s="461"/>
      <c r="AG74" s="461"/>
      <c r="AH74" s="461"/>
      <c r="AI74" s="461"/>
      <c r="AJ74" s="461"/>
    </row>
    <row r="75" spans="1:36" ht="12.75" customHeight="1" x14ac:dyDescent="0.25">
      <c r="A75" s="470" t="s">
        <v>4</v>
      </c>
      <c r="B75" s="471" t="str">
        <f t="shared" si="27"/>
        <v xml:space="preserve"> </v>
      </c>
      <c r="C75" s="472" t="s">
        <v>4</v>
      </c>
      <c r="D75" s="471" t="s">
        <v>4</v>
      </c>
      <c r="E75" s="471" t="s">
        <v>4</v>
      </c>
      <c r="F75" s="461"/>
      <c r="G75" s="461"/>
      <c r="H75" s="473" t="s">
        <v>4</v>
      </c>
      <c r="I75" s="473"/>
      <c r="J75" s="471"/>
      <c r="K75" s="471"/>
      <c r="L75" s="471"/>
      <c r="M75" s="6"/>
      <c r="N75" s="471"/>
      <c r="O75" s="471"/>
      <c r="P75" s="471"/>
      <c r="Q75" s="471"/>
      <c r="R75" s="471"/>
      <c r="S75" s="461"/>
      <c r="T75" s="461"/>
      <c r="U75" s="461"/>
      <c r="V75" s="461"/>
      <c r="W75" s="461"/>
      <c r="X75" s="461"/>
      <c r="Y75" s="461"/>
      <c r="Z75" s="461"/>
      <c r="AA75" s="461"/>
      <c r="AB75" s="461"/>
      <c r="AC75" s="461"/>
      <c r="AD75" s="461"/>
      <c r="AE75" s="461"/>
      <c r="AF75" s="461"/>
      <c r="AG75" s="461"/>
      <c r="AH75" s="461"/>
      <c r="AI75" s="461"/>
      <c r="AJ75" s="461"/>
    </row>
    <row r="76" spans="1:36" ht="12.75" customHeight="1" x14ac:dyDescent="0.25">
      <c r="A76" s="470" t="s">
        <v>4</v>
      </c>
      <c r="B76" s="471" t="str">
        <f t="shared" si="27"/>
        <v xml:space="preserve"> </v>
      </c>
      <c r="C76" s="472" t="s">
        <v>4</v>
      </c>
      <c r="D76" s="471" t="s">
        <v>4</v>
      </c>
      <c r="E76" s="471" t="s">
        <v>4</v>
      </c>
      <c r="F76" s="461"/>
      <c r="G76" s="461"/>
      <c r="H76" s="473" t="s">
        <v>4</v>
      </c>
      <c r="I76" s="473"/>
      <c r="J76" s="471"/>
      <c r="K76" s="471"/>
      <c r="L76" s="471"/>
      <c r="M76" s="6"/>
      <c r="N76" s="471"/>
      <c r="O76" s="471"/>
      <c r="P76" s="471"/>
      <c r="Q76" s="471"/>
      <c r="R76" s="471"/>
      <c r="S76" s="461"/>
      <c r="T76" s="461"/>
      <c r="U76" s="461"/>
      <c r="V76" s="461"/>
      <c r="W76" s="461"/>
      <c r="X76" s="461"/>
      <c r="Y76" s="461"/>
      <c r="Z76" s="461"/>
      <c r="AA76" s="461"/>
      <c r="AB76" s="461"/>
      <c r="AC76" s="461"/>
      <c r="AD76" s="461"/>
      <c r="AE76" s="461"/>
      <c r="AF76" s="461"/>
      <c r="AG76" s="461"/>
      <c r="AH76" s="461"/>
      <c r="AI76" s="461"/>
      <c r="AJ76" s="461"/>
    </row>
    <row r="77" spans="1:36" ht="12.75" customHeight="1" x14ac:dyDescent="0.25">
      <c r="A77" s="470" t="s">
        <v>4</v>
      </c>
      <c r="B77" s="471" t="str">
        <f t="shared" si="27"/>
        <v xml:space="preserve"> </v>
      </c>
      <c r="C77" s="472" t="s">
        <v>4</v>
      </c>
      <c r="D77" s="471" t="s">
        <v>4</v>
      </c>
      <c r="E77" s="471" t="s">
        <v>4</v>
      </c>
      <c r="F77" s="461"/>
      <c r="G77" s="461"/>
      <c r="H77" s="473" t="s">
        <v>4</v>
      </c>
      <c r="I77" s="473"/>
      <c r="J77" s="471"/>
      <c r="K77" s="471"/>
      <c r="L77" s="471"/>
      <c r="M77" s="6"/>
      <c r="N77" s="471"/>
      <c r="O77" s="471"/>
      <c r="P77" s="471"/>
      <c r="Q77" s="471"/>
      <c r="R77" s="471"/>
      <c r="S77" s="461"/>
      <c r="T77" s="461"/>
      <c r="U77" s="461"/>
      <c r="V77" s="461"/>
      <c r="W77" s="461"/>
      <c r="X77" s="461"/>
      <c r="Y77" s="461"/>
      <c r="Z77" s="461"/>
      <c r="AA77" s="461"/>
      <c r="AB77" s="461"/>
      <c r="AC77" s="461"/>
      <c r="AD77" s="461"/>
      <c r="AE77" s="461"/>
      <c r="AF77" s="461"/>
      <c r="AG77" s="461"/>
      <c r="AH77" s="461"/>
      <c r="AI77" s="461"/>
      <c r="AJ77" s="461"/>
    </row>
    <row r="78" spans="1:36" ht="12.75" customHeight="1" x14ac:dyDescent="0.25">
      <c r="A78" s="470" t="s">
        <v>4</v>
      </c>
      <c r="B78" s="471" t="str">
        <f t="shared" si="27"/>
        <v xml:space="preserve"> </v>
      </c>
      <c r="C78" s="472" t="s">
        <v>4</v>
      </c>
      <c r="D78" s="471" t="s">
        <v>4</v>
      </c>
      <c r="E78" s="471" t="s">
        <v>4</v>
      </c>
      <c r="F78" s="461"/>
      <c r="G78" s="461"/>
      <c r="H78" s="473" t="s">
        <v>4</v>
      </c>
      <c r="I78" s="473"/>
      <c r="J78" s="471"/>
      <c r="K78" s="471"/>
      <c r="L78" s="471"/>
      <c r="M78" s="6"/>
      <c r="N78" s="471"/>
      <c r="O78" s="471"/>
      <c r="P78" s="471"/>
      <c r="Q78" s="471"/>
      <c r="R78" s="471"/>
      <c r="S78" s="461"/>
      <c r="T78" s="461"/>
      <c r="U78" s="461"/>
      <c r="V78" s="461"/>
      <c r="W78" s="461"/>
      <c r="X78" s="461"/>
      <c r="Y78" s="461"/>
      <c r="Z78" s="461"/>
      <c r="AA78" s="461"/>
      <c r="AB78" s="461"/>
      <c r="AC78" s="461"/>
      <c r="AD78" s="461"/>
      <c r="AE78" s="461"/>
      <c r="AF78" s="461"/>
      <c r="AG78" s="461"/>
      <c r="AH78" s="461"/>
      <c r="AI78" s="461"/>
      <c r="AJ78" s="461"/>
    </row>
    <row r="79" spans="1:36" ht="12.75" customHeight="1" x14ac:dyDescent="0.25">
      <c r="A79" s="470" t="s">
        <v>4</v>
      </c>
      <c r="B79" s="471" t="str">
        <f t="shared" si="27"/>
        <v xml:space="preserve"> </v>
      </c>
      <c r="C79" s="472" t="s">
        <v>4</v>
      </c>
      <c r="D79" s="471" t="s">
        <v>4</v>
      </c>
      <c r="E79" s="471" t="s">
        <v>4</v>
      </c>
      <c r="F79" s="461"/>
      <c r="G79" s="461"/>
      <c r="H79" s="473" t="s">
        <v>4</v>
      </c>
      <c r="I79" s="473"/>
      <c r="J79" s="471"/>
      <c r="K79" s="471"/>
      <c r="L79" s="471"/>
      <c r="M79" s="6"/>
      <c r="N79" s="471"/>
      <c r="O79" s="471"/>
      <c r="P79" s="471"/>
      <c r="Q79" s="471"/>
      <c r="R79" s="471"/>
      <c r="S79" s="461"/>
      <c r="T79" s="461"/>
      <c r="U79" s="461"/>
      <c r="V79" s="461"/>
      <c r="W79" s="461"/>
      <c r="X79" s="461"/>
      <c r="Y79" s="461"/>
      <c r="Z79" s="461"/>
      <c r="AA79" s="461"/>
      <c r="AB79" s="461"/>
      <c r="AC79" s="461"/>
      <c r="AD79" s="461"/>
      <c r="AE79" s="461"/>
      <c r="AF79" s="461"/>
      <c r="AG79" s="461"/>
      <c r="AH79" s="461"/>
      <c r="AI79" s="461"/>
      <c r="AJ79" s="461"/>
    </row>
    <row r="80" spans="1:36" ht="12.75" customHeight="1" x14ac:dyDescent="0.25">
      <c r="A80" s="470" t="s">
        <v>4</v>
      </c>
      <c r="B80" s="471" t="str">
        <f t="shared" si="27"/>
        <v xml:space="preserve"> </v>
      </c>
      <c r="C80" s="472" t="s">
        <v>4</v>
      </c>
      <c r="D80" s="471" t="s">
        <v>4</v>
      </c>
      <c r="E80" s="471" t="s">
        <v>4</v>
      </c>
      <c r="F80" s="461"/>
      <c r="G80" s="461"/>
      <c r="H80" s="473" t="s">
        <v>4</v>
      </c>
      <c r="I80" s="473"/>
      <c r="J80" s="471"/>
      <c r="K80" s="471"/>
      <c r="L80" s="471"/>
      <c r="M80" s="6"/>
      <c r="N80" s="471"/>
      <c r="O80" s="471"/>
      <c r="P80" s="471"/>
      <c r="Q80" s="471"/>
      <c r="R80" s="471"/>
      <c r="S80" s="461"/>
      <c r="T80" s="461"/>
      <c r="U80" s="461"/>
      <c r="V80" s="461"/>
      <c r="W80" s="461"/>
      <c r="X80" s="461"/>
      <c r="Y80" s="461"/>
      <c r="Z80" s="461"/>
      <c r="AA80" s="461"/>
      <c r="AB80" s="461"/>
      <c r="AC80" s="461"/>
      <c r="AD80" s="461"/>
      <c r="AE80" s="461"/>
      <c r="AF80" s="461"/>
      <c r="AG80" s="461"/>
      <c r="AH80" s="461"/>
      <c r="AI80" s="461"/>
      <c r="AJ80" s="461"/>
    </row>
    <row r="81" spans="1:36" ht="12.75" customHeight="1" x14ac:dyDescent="0.25">
      <c r="A81" s="470" t="s">
        <v>4</v>
      </c>
      <c r="B81" s="471" t="str">
        <f t="shared" si="27"/>
        <v xml:space="preserve"> </v>
      </c>
      <c r="C81" s="472" t="s">
        <v>4</v>
      </c>
      <c r="D81" s="471" t="s">
        <v>4</v>
      </c>
      <c r="E81" s="471" t="s">
        <v>4</v>
      </c>
      <c r="F81" s="461"/>
      <c r="G81" s="461"/>
      <c r="H81" s="473" t="s">
        <v>4</v>
      </c>
      <c r="I81" s="473"/>
      <c r="J81" s="471"/>
      <c r="K81" s="471"/>
      <c r="L81" s="471"/>
      <c r="M81" s="6"/>
      <c r="N81" s="471"/>
      <c r="O81" s="471"/>
      <c r="P81" s="471"/>
      <c r="Q81" s="471"/>
      <c r="R81" s="471"/>
      <c r="S81" s="461"/>
      <c r="T81" s="461"/>
      <c r="U81" s="461"/>
      <c r="V81" s="461"/>
      <c r="W81" s="461"/>
      <c r="X81" s="461"/>
      <c r="Y81" s="461"/>
      <c r="Z81" s="461"/>
      <c r="AA81" s="461"/>
      <c r="AB81" s="461"/>
      <c r="AC81" s="461"/>
      <c r="AD81" s="461"/>
      <c r="AE81" s="461"/>
      <c r="AF81" s="461"/>
      <c r="AG81" s="461"/>
      <c r="AH81" s="461"/>
      <c r="AI81" s="461"/>
      <c r="AJ81" s="461"/>
    </row>
    <row r="82" spans="1:36" ht="12.75" customHeight="1" x14ac:dyDescent="0.25">
      <c r="A82" s="470" t="s">
        <v>4</v>
      </c>
      <c r="B82" s="471" t="str">
        <f t="shared" si="27"/>
        <v xml:space="preserve"> </v>
      </c>
      <c r="C82" s="472" t="s">
        <v>4</v>
      </c>
      <c r="D82" s="471" t="s">
        <v>4</v>
      </c>
      <c r="E82" s="471" t="s">
        <v>4</v>
      </c>
      <c r="F82" s="461"/>
      <c r="G82" s="461"/>
      <c r="H82" s="473" t="s">
        <v>4</v>
      </c>
      <c r="I82" s="473"/>
      <c r="J82" s="471"/>
      <c r="K82" s="471"/>
      <c r="L82" s="471"/>
      <c r="M82" s="6"/>
      <c r="N82" s="471"/>
      <c r="O82" s="471"/>
      <c r="P82" s="471"/>
      <c r="Q82" s="471"/>
      <c r="R82" s="471"/>
      <c r="S82" s="461"/>
      <c r="T82" s="461"/>
      <c r="U82" s="461"/>
      <c r="V82" s="461"/>
      <c r="W82" s="461"/>
      <c r="X82" s="461"/>
      <c r="Y82" s="461"/>
      <c r="Z82" s="461"/>
      <c r="AA82" s="461"/>
      <c r="AB82" s="461"/>
      <c r="AC82" s="461"/>
      <c r="AD82" s="461"/>
      <c r="AE82" s="461"/>
      <c r="AF82" s="461"/>
      <c r="AG82" s="461"/>
      <c r="AH82" s="461"/>
      <c r="AI82" s="461"/>
      <c r="AJ82" s="461"/>
    </row>
    <row r="83" spans="1:36" ht="12.75" customHeight="1" x14ac:dyDescent="0.25">
      <c r="A83" s="470" t="s">
        <v>4</v>
      </c>
      <c r="B83" s="471" t="str">
        <f t="shared" si="27"/>
        <v xml:space="preserve"> </v>
      </c>
      <c r="C83" s="472" t="s">
        <v>4</v>
      </c>
      <c r="D83" s="471" t="s">
        <v>4</v>
      </c>
      <c r="E83" s="471" t="s">
        <v>4</v>
      </c>
      <c r="F83" s="461"/>
      <c r="G83" s="461"/>
      <c r="H83" s="473" t="s">
        <v>4</v>
      </c>
      <c r="I83" s="473"/>
      <c r="J83" s="471"/>
      <c r="K83" s="471"/>
      <c r="L83" s="471"/>
      <c r="M83" s="6"/>
      <c r="N83" s="471"/>
      <c r="O83" s="471"/>
      <c r="P83" s="471"/>
      <c r="Q83" s="471"/>
      <c r="R83" s="471"/>
      <c r="S83" s="461"/>
      <c r="T83" s="461"/>
      <c r="U83" s="461"/>
      <c r="V83" s="461"/>
      <c r="W83" s="461"/>
      <c r="X83" s="461"/>
      <c r="Y83" s="461"/>
      <c r="Z83" s="461"/>
      <c r="AA83" s="461"/>
      <c r="AB83" s="461"/>
      <c r="AC83" s="461"/>
      <c r="AD83" s="461"/>
      <c r="AE83" s="461"/>
      <c r="AF83" s="461"/>
      <c r="AG83" s="461"/>
      <c r="AH83" s="461"/>
      <c r="AI83" s="461"/>
      <c r="AJ83" s="461"/>
    </row>
    <row r="84" spans="1:36" ht="12.75" customHeight="1" x14ac:dyDescent="0.25">
      <c r="A84" s="470" t="s">
        <v>4</v>
      </c>
      <c r="B84" s="471" t="str">
        <f t="shared" si="27"/>
        <v xml:space="preserve"> </v>
      </c>
      <c r="C84" s="472" t="s">
        <v>4</v>
      </c>
      <c r="D84" s="471" t="s">
        <v>4</v>
      </c>
      <c r="E84" s="471" t="s">
        <v>4</v>
      </c>
      <c r="F84" s="461"/>
      <c r="G84" s="461"/>
      <c r="H84" s="473" t="s">
        <v>4</v>
      </c>
      <c r="I84" s="473"/>
      <c r="J84" s="471"/>
      <c r="K84" s="471"/>
      <c r="L84" s="471"/>
      <c r="M84" s="6"/>
      <c r="N84" s="471"/>
      <c r="O84" s="471"/>
      <c r="P84" s="471"/>
      <c r="Q84" s="471"/>
      <c r="R84" s="471"/>
      <c r="S84" s="461"/>
      <c r="T84" s="461"/>
      <c r="U84" s="461"/>
      <c r="V84" s="461"/>
      <c r="W84" s="461"/>
      <c r="X84" s="461"/>
      <c r="Y84" s="461"/>
      <c r="Z84" s="461"/>
      <c r="AA84" s="461"/>
      <c r="AB84" s="461"/>
      <c r="AC84" s="461"/>
      <c r="AD84" s="461"/>
      <c r="AE84" s="461"/>
      <c r="AF84" s="461"/>
      <c r="AG84" s="461"/>
      <c r="AH84" s="461"/>
      <c r="AI84" s="461"/>
      <c r="AJ84" s="461"/>
    </row>
    <row r="85" spans="1:36" ht="12.75" customHeight="1" x14ac:dyDescent="0.25">
      <c r="A85" s="470" t="s">
        <v>4</v>
      </c>
      <c r="B85" s="471" t="str">
        <f t="shared" si="27"/>
        <v xml:space="preserve"> </v>
      </c>
      <c r="C85" s="472" t="s">
        <v>4</v>
      </c>
      <c r="D85" s="471" t="s">
        <v>4</v>
      </c>
      <c r="E85" s="471" t="s">
        <v>4</v>
      </c>
      <c r="F85" s="461"/>
      <c r="G85" s="461"/>
      <c r="H85" s="473" t="s">
        <v>4</v>
      </c>
      <c r="I85" s="473"/>
      <c r="J85" s="471"/>
      <c r="K85" s="471"/>
      <c r="L85" s="471"/>
      <c r="M85" s="6"/>
      <c r="N85" s="471"/>
      <c r="O85" s="471"/>
      <c r="P85" s="471"/>
      <c r="Q85" s="471"/>
      <c r="R85" s="471"/>
      <c r="S85" s="461"/>
      <c r="T85" s="461"/>
      <c r="U85" s="461"/>
      <c r="V85" s="461"/>
      <c r="W85" s="461"/>
      <c r="X85" s="461"/>
      <c r="Y85" s="461"/>
      <c r="Z85" s="461"/>
      <c r="AA85" s="461"/>
      <c r="AB85" s="461"/>
      <c r="AC85" s="461"/>
      <c r="AD85" s="461"/>
      <c r="AE85" s="461"/>
      <c r="AF85" s="461"/>
      <c r="AG85" s="461"/>
      <c r="AH85" s="461"/>
      <c r="AI85" s="461"/>
      <c r="AJ85" s="461"/>
    </row>
  </sheetData>
  <sheetProtection selectLockedCells="1" selectUnlockedCells="1"/>
  <mergeCells count="19">
    <mergeCell ref="A57:E57"/>
    <mergeCell ref="H57:M57"/>
    <mergeCell ref="AQ5:AR5"/>
    <mergeCell ref="AE48:AH48"/>
    <mergeCell ref="AO48:AR48"/>
    <mergeCell ref="J49:M49"/>
    <mergeCell ref="AI52:AJ52"/>
    <mergeCell ref="A54:D54"/>
    <mergeCell ref="AO54:AR54"/>
    <mergeCell ref="B2:C2"/>
    <mergeCell ref="E2:F2"/>
    <mergeCell ref="C4:J4"/>
    <mergeCell ref="M4:AN4"/>
    <mergeCell ref="AO4:AS4"/>
    <mergeCell ref="L5:P5"/>
    <mergeCell ref="R5:V5"/>
    <mergeCell ref="X5:AB5"/>
    <mergeCell ref="AD5:AH5"/>
    <mergeCell ref="AI5:AJ5"/>
  </mergeCells>
  <pageMargins left="0.78749999999999998" right="0.78749999999999998" top="0.98402777777777772" bottom="0.98402777777777772" header="0.51180555555555551" footer="0.51180555555555551"/>
  <pageSetup paperSize="9" scale="48" firstPageNumber="0" fitToWidth="2" fitToHeight="2"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E9A3E-FE64-4FFF-A928-4DA521C03CA4}">
  <sheetPr>
    <pageSetUpPr fitToPage="1"/>
  </sheetPr>
  <dimension ref="A1:M120"/>
  <sheetViews>
    <sheetView defaultGridColor="0" view="pageBreakPreview" colorId="31" zoomScaleSheetLayoutView="100" workbookViewId="0">
      <selection activeCell="A3" sqref="A3"/>
    </sheetView>
  </sheetViews>
  <sheetFormatPr baseColWidth="10" defaultRowHeight="12.75" customHeight="1" x14ac:dyDescent="0.25"/>
  <cols>
    <col min="1" max="6" width="11.5546875" style="474" customWidth="1"/>
    <col min="7" max="7" width="11.5546875" style="2" customWidth="1"/>
    <col min="8" max="8" width="11.88671875" customWidth="1"/>
    <col min="9" max="9" width="11.6640625" bestFit="1" customWidth="1"/>
    <col min="13" max="13" width="41.88671875" customWidth="1"/>
  </cols>
  <sheetData>
    <row r="1" spans="1:8" ht="12.75" customHeight="1" x14ac:dyDescent="0.25">
      <c r="A1" s="475" t="s">
        <v>338</v>
      </c>
      <c r="B1" s="475"/>
      <c r="C1" s="475"/>
      <c r="D1" s="475"/>
      <c r="E1" s="476"/>
      <c r="F1" s="475"/>
      <c r="G1" t="s">
        <v>4</v>
      </c>
      <c r="H1" s="464"/>
    </row>
    <row r="2" spans="1:8" ht="12.75" customHeight="1" x14ac:dyDescent="0.25">
      <c r="A2" s="475" t="s">
        <v>339</v>
      </c>
      <c r="B2" s="475"/>
      <c r="C2" s="475"/>
      <c r="D2" s="475"/>
      <c r="E2" s="476"/>
      <c r="F2" s="475"/>
      <c r="G2" s="476"/>
      <c r="H2" s="464"/>
    </row>
    <row r="3" spans="1:8" s="464" customFormat="1" ht="12.75" customHeight="1" x14ac:dyDescent="0.25">
      <c r="A3" s="475"/>
      <c r="B3" s="475"/>
      <c r="C3" s="475"/>
      <c r="D3" s="475"/>
      <c r="E3" s="475"/>
      <c r="F3" s="475"/>
      <c r="G3" s="477"/>
    </row>
    <row r="4" spans="1:8" s="2" customFormat="1" ht="11.25" customHeight="1" x14ac:dyDescent="0.2">
      <c r="A4" s="477" t="s">
        <v>340</v>
      </c>
    </row>
    <row r="5" spans="1:8" s="2" customFormat="1" ht="11.25" customHeight="1" x14ac:dyDescent="0.2">
      <c r="A5" s="2" t="s">
        <v>341</v>
      </c>
    </row>
    <row r="6" spans="1:8" s="2" customFormat="1" ht="11.25" customHeight="1" x14ac:dyDescent="0.2"/>
    <row r="7" spans="1:8" s="2" customFormat="1" ht="11.25" customHeight="1" x14ac:dyDescent="0.2">
      <c r="A7" s="477" t="s">
        <v>342</v>
      </c>
    </row>
    <row r="9" spans="1:8" s="477" customFormat="1" ht="11.25" customHeight="1" x14ac:dyDescent="0.2">
      <c r="A9" s="477" t="s">
        <v>343</v>
      </c>
      <c r="E9" s="16" t="s">
        <v>19</v>
      </c>
      <c r="F9" s="477" t="s">
        <v>4</v>
      </c>
    </row>
    <row r="10" spans="1:8" s="477" customFormat="1" ht="11.25" customHeight="1" x14ac:dyDescent="0.2">
      <c r="A10" s="477" t="s">
        <v>344</v>
      </c>
      <c r="E10" s="24" t="s">
        <v>44</v>
      </c>
    </row>
    <row r="11" spans="1:8" s="477" customFormat="1" ht="11.25" customHeight="1" x14ac:dyDescent="0.2"/>
    <row r="12" spans="1:8" s="478" customFormat="1" ht="12.75" customHeight="1" x14ac:dyDescent="0.25">
      <c r="A12" s="477" t="s">
        <v>345</v>
      </c>
      <c r="B12" s="2"/>
      <c r="C12" s="2"/>
      <c r="D12" s="2"/>
      <c r="E12" s="2"/>
      <c r="F12" s="2"/>
      <c r="G12" s="2"/>
      <c r="H12" s="2"/>
    </row>
    <row r="13" spans="1:8" s="478" customFormat="1" ht="12.75" customHeight="1" x14ac:dyDescent="0.25">
      <c r="A13" s="2"/>
      <c r="B13" s="2"/>
      <c r="C13" s="2"/>
      <c r="D13" s="2"/>
      <c r="E13" s="2"/>
      <c r="F13" s="2"/>
      <c r="G13" s="2"/>
      <c r="H13" s="2"/>
    </row>
    <row r="14" spans="1:8" ht="12.75" customHeight="1" x14ac:dyDescent="0.25">
      <c r="A14" s="2" t="s">
        <v>346</v>
      </c>
      <c r="B14" s="2"/>
      <c r="C14" s="2"/>
      <c r="D14" s="2"/>
      <c r="E14" s="2"/>
      <c r="F14" s="2"/>
      <c r="G14" s="479">
        <f>'Test de compensation'!D142</f>
        <v>25</v>
      </c>
      <c r="H14" s="19" t="s">
        <v>347</v>
      </c>
    </row>
    <row r="15" spans="1:8" ht="12.75" customHeight="1" x14ac:dyDescent="0.25">
      <c r="A15" s="2"/>
      <c r="B15" s="2"/>
      <c r="C15" s="2"/>
      <c r="D15" s="2"/>
      <c r="E15" s="2"/>
      <c r="F15" s="2"/>
      <c r="H15" s="2"/>
    </row>
    <row r="16" spans="1:8" s="464" customFormat="1" ht="12.75" customHeight="1" x14ac:dyDescent="0.25">
      <c r="A16" s="477" t="s">
        <v>348</v>
      </c>
      <c r="B16" s="477"/>
      <c r="C16" s="477"/>
      <c r="D16" s="477"/>
      <c r="E16" s="477"/>
      <c r="F16" s="477"/>
      <c r="G16" s="477"/>
      <c r="H16" s="477"/>
    </row>
    <row r="17" spans="1:13" ht="12.75" customHeight="1" x14ac:dyDescent="0.25">
      <c r="A17" s="2"/>
      <c r="B17" s="2" t="s">
        <v>349</v>
      </c>
      <c r="C17" s="2"/>
      <c r="D17" s="2"/>
      <c r="E17" s="2"/>
      <c r="F17" s="2"/>
      <c r="G17" s="306">
        <f>'Test de compensation'!D124</f>
        <v>1000000</v>
      </c>
      <c r="H17" s="480">
        <f>G17/G20</f>
        <v>0.16666666666666666</v>
      </c>
    </row>
    <row r="18" spans="1:13" ht="12.75" customHeight="1" x14ac:dyDescent="0.25">
      <c r="A18" s="2"/>
      <c r="B18" s="2" t="s">
        <v>350</v>
      </c>
      <c r="C18" s="2"/>
      <c r="D18" s="2"/>
      <c r="E18" s="2"/>
      <c r="F18" s="2"/>
      <c r="G18" s="306">
        <f>'Test de compensation'!D133</f>
        <v>3000000</v>
      </c>
      <c r="H18" s="480">
        <f>G18/G20</f>
        <v>0.5</v>
      </c>
    </row>
    <row r="19" spans="1:13" ht="12.75" customHeight="1" x14ac:dyDescent="0.25">
      <c r="A19" s="2"/>
      <c r="B19" s="2" t="s">
        <v>351</v>
      </c>
      <c r="C19" s="2"/>
      <c r="D19" s="2"/>
      <c r="E19" s="2"/>
      <c r="F19" s="2"/>
      <c r="G19" s="394">
        <f>'Test de compensation'!D122</f>
        <v>2000000</v>
      </c>
      <c r="H19" s="480">
        <f>G19/G20</f>
        <v>0.33333333333333331</v>
      </c>
      <c r="J19" t="s">
        <v>4</v>
      </c>
      <c r="K19" t="s">
        <v>4</v>
      </c>
      <c r="L19" t="s">
        <v>4</v>
      </c>
      <c r="M19" t="s">
        <v>4</v>
      </c>
    </row>
    <row r="20" spans="1:13" ht="12.75" customHeight="1" x14ac:dyDescent="0.25">
      <c r="A20" s="2"/>
      <c r="B20" s="2" t="s">
        <v>352</v>
      </c>
      <c r="C20" s="2"/>
      <c r="D20" s="2"/>
      <c r="E20" s="2"/>
      <c r="F20" s="2"/>
      <c r="G20" s="396">
        <f>SUM(G17:G19)</f>
        <v>6000000</v>
      </c>
      <c r="H20" s="480">
        <f>SUM(H17:H19)</f>
        <v>1</v>
      </c>
      <c r="J20" t="s">
        <v>4</v>
      </c>
      <c r="K20" t="s">
        <v>4</v>
      </c>
      <c r="L20" t="s">
        <v>4</v>
      </c>
      <c r="M20" t="s">
        <v>4</v>
      </c>
    </row>
    <row r="21" spans="1:13" ht="12.75" customHeight="1" x14ac:dyDescent="0.25">
      <c r="A21" s="2"/>
      <c r="B21" s="2"/>
      <c r="C21" s="2"/>
      <c r="D21" s="2"/>
      <c r="E21" s="2"/>
      <c r="F21" s="2"/>
      <c r="G21" s="395"/>
      <c r="H21" s="480"/>
    </row>
    <row r="22" spans="1:13" ht="12.75" customHeight="1" x14ac:dyDescent="0.25">
      <c r="A22" s="2"/>
      <c r="B22" s="2"/>
      <c r="C22" s="2"/>
      <c r="D22" s="2"/>
      <c r="E22" s="2"/>
      <c r="F22" s="2"/>
      <c r="G22" s="306"/>
      <c r="H22" s="2"/>
    </row>
    <row r="23" spans="1:13" s="464" customFormat="1" ht="12.75" customHeight="1" x14ac:dyDescent="0.25">
      <c r="A23" s="477" t="s">
        <v>353</v>
      </c>
      <c r="B23" s="477"/>
      <c r="C23" s="477"/>
      <c r="D23" s="477"/>
      <c r="E23" s="477"/>
      <c r="F23" s="477"/>
      <c r="G23" s="396">
        <f>G29-G38</f>
        <v>5547640.6715551559</v>
      </c>
      <c r="H23" s="477"/>
    </row>
    <row r="24" spans="1:13" ht="12.75" customHeight="1" x14ac:dyDescent="0.25">
      <c r="A24" s="2" t="s">
        <v>354</v>
      </c>
      <c r="B24" s="2"/>
      <c r="C24" s="2"/>
      <c r="D24" s="2"/>
      <c r="E24" s="2"/>
      <c r="F24" s="2"/>
      <c r="H24" s="2"/>
    </row>
    <row r="25" spans="1:13" s="464" customFormat="1" ht="12.75" customHeight="1" x14ac:dyDescent="0.25">
      <c r="A25" s="477" t="s">
        <v>355</v>
      </c>
      <c r="B25" s="477"/>
      <c r="C25" s="477"/>
      <c r="D25" s="477"/>
      <c r="E25" s="477"/>
      <c r="F25" s="477"/>
      <c r="G25" s="477"/>
      <c r="H25" s="477"/>
    </row>
    <row r="26" spans="1:13" ht="12.75" customHeight="1" x14ac:dyDescent="0.25">
      <c r="A26" s="2"/>
      <c r="B26" s="2" t="s">
        <v>356</v>
      </c>
      <c r="C26" s="2"/>
      <c r="D26" s="2"/>
      <c r="E26" s="2"/>
      <c r="F26" s="2"/>
      <c r="G26" s="306">
        <f>'Test de compensation'!D157</f>
        <v>6000000</v>
      </c>
      <c r="H26" s="480">
        <f>G26/G29</f>
        <v>0.87557521550129092</v>
      </c>
    </row>
    <row r="27" spans="1:13" ht="12.75" customHeight="1" x14ac:dyDescent="0.25">
      <c r="A27" s="2"/>
      <c r="B27" s="2" t="s">
        <v>357</v>
      </c>
      <c r="C27" s="2"/>
      <c r="D27" s="2"/>
      <c r="E27" s="2"/>
      <c r="F27" s="2"/>
      <c r="G27" s="306">
        <f>'Test de compensation'!D158</f>
        <v>792638.0073068135</v>
      </c>
      <c r="H27" s="480">
        <f>G27/G29</f>
        <v>0.11566903234369617</v>
      </c>
    </row>
    <row r="28" spans="1:13" ht="12.75" customHeight="1" x14ac:dyDescent="0.25">
      <c r="A28" s="2"/>
      <c r="B28" s="2" t="s">
        <v>358</v>
      </c>
      <c r="C28" s="2"/>
      <c r="D28" s="2"/>
      <c r="E28" s="2"/>
      <c r="F28" s="2"/>
      <c r="G28" s="394">
        <f>'Test de compensation'!D159</f>
        <v>60000</v>
      </c>
      <c r="H28" s="480">
        <f>G28/G29</f>
        <v>8.7557521550129091E-3</v>
      </c>
    </row>
    <row r="29" spans="1:13" ht="12.75" customHeight="1" x14ac:dyDescent="0.25">
      <c r="A29" s="2"/>
      <c r="B29" s="2" t="s">
        <v>359</v>
      </c>
      <c r="C29" s="2"/>
      <c r="D29" s="2"/>
      <c r="E29" s="2"/>
      <c r="F29" s="2"/>
      <c r="G29" s="396">
        <f>'Test de compensation'!D160</f>
        <v>6852638.0073068133</v>
      </c>
      <c r="H29" s="480">
        <f>SUM(H26:H28)</f>
        <v>1</v>
      </c>
    </row>
    <row r="30" spans="1:13" s="464" customFormat="1" ht="12.75" customHeight="1" x14ac:dyDescent="0.25">
      <c r="A30" s="477" t="s">
        <v>360</v>
      </c>
      <c r="B30" s="477"/>
      <c r="C30" s="477"/>
      <c r="D30" s="477"/>
      <c r="E30" s="477"/>
      <c r="F30" s="477"/>
      <c r="G30" s="477"/>
      <c r="H30" s="481"/>
    </row>
    <row r="31" spans="1:13" ht="12.75" customHeight="1" x14ac:dyDescent="0.25">
      <c r="A31" s="2"/>
      <c r="B31" s="2" t="s">
        <v>361</v>
      </c>
      <c r="C31" s="2"/>
      <c r="D31" s="2"/>
      <c r="E31" s="2"/>
      <c r="F31" s="2"/>
      <c r="G31" s="306">
        <f>'Test de compensation'!C162</f>
        <v>96639.88235294052</v>
      </c>
      <c r="H31" s="480">
        <f>G31/G38</f>
        <v>7.40537008815252E-2</v>
      </c>
    </row>
    <row r="32" spans="1:13" ht="12.75" customHeight="1" x14ac:dyDescent="0.25">
      <c r="A32" s="2"/>
      <c r="B32" s="2" t="s">
        <v>362</v>
      </c>
      <c r="C32" s="2"/>
      <c r="D32" s="2"/>
      <c r="E32" s="2"/>
      <c r="F32" s="2"/>
      <c r="G32" s="306">
        <f>'Test de compensation'!C163</f>
        <v>1149273.0774880641</v>
      </c>
      <c r="H32" s="480">
        <f>G32/G38</f>
        <v>0.88067082284585796</v>
      </c>
    </row>
    <row r="33" spans="1:9" ht="12.75" customHeight="1" x14ac:dyDescent="0.25">
      <c r="A33" s="2"/>
      <c r="B33" s="2" t="s">
        <v>363</v>
      </c>
      <c r="C33" s="2"/>
      <c r="D33" s="2"/>
      <c r="E33" s="2"/>
      <c r="F33" s="2"/>
      <c r="G33" s="306">
        <f>'Calculs détaillés'!F53+'Calculs détaillés'!H53</f>
        <v>141161.76470588235</v>
      </c>
      <c r="H33" s="480">
        <f>G33/G38</f>
        <v>0.10817015547742517</v>
      </c>
    </row>
    <row r="34" spans="1:9" ht="12.75" customHeight="1" x14ac:dyDescent="0.25">
      <c r="A34" s="2"/>
      <c r="B34" s="2" t="s">
        <v>364</v>
      </c>
      <c r="C34" s="2"/>
      <c r="D34" s="2"/>
      <c r="E34" s="2"/>
      <c r="F34" s="2"/>
      <c r="G34" s="306">
        <f>'Calculs détaillés'!G53</f>
        <v>-44700</v>
      </c>
      <c r="H34" s="482">
        <f>G34/G38</f>
        <v>-3.425294349298693E-2</v>
      </c>
    </row>
    <row r="35" spans="1:9" ht="14.7" customHeight="1" x14ac:dyDescent="0.25">
      <c r="A35" s="2"/>
      <c r="B35" s="2" t="s">
        <v>365</v>
      </c>
      <c r="C35" s="2"/>
      <c r="D35" s="2"/>
      <c r="E35" s="2"/>
      <c r="F35" s="2"/>
      <c r="G35" s="394">
        <f>'Test de compensation'!C167</f>
        <v>-37377.388795230116</v>
      </c>
      <c r="H35" s="480">
        <f>G35/G38</f>
        <v>-2.8641735711821478E-2</v>
      </c>
    </row>
    <row r="36" spans="1:9" ht="14.7" customHeight="1" x14ac:dyDescent="0.25">
      <c r="A36" s="2"/>
      <c r="B36" s="2" t="s">
        <v>366</v>
      </c>
      <c r="C36" s="2"/>
      <c r="D36" s="2"/>
      <c r="E36" s="2"/>
      <c r="F36" s="2"/>
      <c r="G36" s="394">
        <f>'Test de compensation'!C168</f>
        <v>0</v>
      </c>
      <c r="H36" s="480">
        <f>G36/G38</f>
        <v>0</v>
      </c>
    </row>
    <row r="37" spans="1:9" ht="14.7" customHeight="1" x14ac:dyDescent="0.25">
      <c r="A37" s="2"/>
      <c r="B37" s="2" t="s">
        <v>138</v>
      </c>
      <c r="C37" s="2"/>
      <c r="D37" s="2"/>
      <c r="E37" s="2"/>
      <c r="F37" s="2"/>
      <c r="G37" s="394">
        <f>'Test de compensation'!C169</f>
        <v>0</v>
      </c>
      <c r="H37" s="480">
        <f>G37/G38</f>
        <v>0</v>
      </c>
    </row>
    <row r="38" spans="1:9" ht="12.75" customHeight="1" x14ac:dyDescent="0.25">
      <c r="A38" s="2"/>
      <c r="B38" s="2" t="s">
        <v>367</v>
      </c>
      <c r="C38" s="2"/>
      <c r="D38" s="2"/>
      <c r="E38" s="2"/>
      <c r="F38" s="2"/>
      <c r="G38" s="396">
        <f>'Test de compensation'!C170</f>
        <v>1304997.3357516569</v>
      </c>
      <c r="H38" s="480">
        <f>SUM(H31:H35)</f>
        <v>0.99999999999999989</v>
      </c>
      <c r="I38" s="498"/>
    </row>
    <row r="39" spans="1:9" s="464" customFormat="1" ht="12.75" customHeight="1" x14ac:dyDescent="0.25">
      <c r="A39" s="477" t="s">
        <v>368</v>
      </c>
      <c r="B39" s="477"/>
      <c r="C39" s="477"/>
      <c r="D39" s="477"/>
      <c r="E39" s="477"/>
      <c r="F39" s="477"/>
      <c r="G39" s="477"/>
      <c r="H39" s="481"/>
    </row>
    <row r="40" spans="1:9" ht="12.75" customHeight="1" x14ac:dyDescent="0.25">
      <c r="A40" s="2"/>
      <c r="B40" s="2" t="s">
        <v>229</v>
      </c>
      <c r="C40" s="2"/>
      <c r="D40" s="2"/>
      <c r="E40" s="2"/>
      <c r="F40" s="2"/>
      <c r="G40" s="396">
        <f>'Calculs détaillés'!AU53</f>
        <v>430656.07532344275</v>
      </c>
      <c r="H40" s="480"/>
    </row>
    <row r="41" spans="1:9" ht="12.75" customHeight="1" x14ac:dyDescent="0.25">
      <c r="A41" s="2"/>
      <c r="B41" s="403" t="s">
        <v>369</v>
      </c>
      <c r="C41" s="2"/>
      <c r="D41" s="2"/>
      <c r="E41" s="2"/>
      <c r="F41" s="2"/>
      <c r="G41" s="316"/>
      <c r="H41" s="480"/>
    </row>
    <row r="42" spans="1:9" ht="12.75" customHeight="1" x14ac:dyDescent="0.25">
      <c r="A42" s="477" t="s">
        <v>370</v>
      </c>
      <c r="B42" s="403"/>
      <c r="C42" s="2"/>
      <c r="D42" s="2"/>
      <c r="E42" s="2"/>
      <c r="F42" s="2"/>
      <c r="G42" s="396">
        <f>G23+G40</f>
        <v>5978296.7468785988</v>
      </c>
      <c r="H42" s="480"/>
    </row>
    <row r="43" spans="1:9" s="464" customFormat="1" ht="12.75" customHeight="1" x14ac:dyDescent="0.25">
      <c r="A43" s="477" t="s">
        <v>371</v>
      </c>
      <c r="B43" s="477"/>
      <c r="C43" s="477"/>
      <c r="D43" s="477"/>
      <c r="E43" s="477"/>
      <c r="F43" s="477"/>
      <c r="G43" s="477"/>
      <c r="H43" s="481"/>
    </row>
    <row r="44" spans="1:9" ht="12.75" customHeight="1" x14ac:dyDescent="0.25">
      <c r="A44" s="2"/>
      <c r="B44" s="2" t="s">
        <v>372</v>
      </c>
      <c r="C44" s="2"/>
      <c r="D44" s="2"/>
      <c r="E44" s="2"/>
      <c r="F44" s="2"/>
      <c r="G44" s="306">
        <f>'Test de compensation'!C177</f>
        <v>2000000</v>
      </c>
      <c r="H44" s="480">
        <f>G44/G48</f>
        <v>0.83539425084310259</v>
      </c>
    </row>
    <row r="45" spans="1:9" ht="12.75" customHeight="1" x14ac:dyDescent="0.25">
      <c r="A45" s="2"/>
      <c r="B45" s="2" t="s">
        <v>373</v>
      </c>
      <c r="C45" s="2"/>
      <c r="D45" s="2"/>
      <c r="E45" s="2"/>
      <c r="F45" s="2"/>
      <c r="G45" s="306">
        <f>'Test de compensation'!C178</f>
        <v>384467.5124951941</v>
      </c>
      <c r="H45" s="480">
        <f>G45/G48</f>
        <v>0.16059097478721693</v>
      </c>
    </row>
    <row r="46" spans="1:9" ht="12.75" customHeight="1" x14ac:dyDescent="0.25">
      <c r="A46" s="2"/>
      <c r="B46" s="2" t="s">
        <v>374</v>
      </c>
      <c r="C46" s="2"/>
      <c r="D46" s="2"/>
      <c r="E46" s="2"/>
      <c r="F46" s="2"/>
      <c r="G46" s="306">
        <f>'Test de compensation'!C179</f>
        <v>9611.6878123798542</v>
      </c>
      <c r="H46" s="480">
        <f>G46/G48</f>
        <v>4.0147743696804239E-3</v>
      </c>
    </row>
    <row r="47" spans="1:9" ht="12.75" customHeight="1" x14ac:dyDescent="0.25">
      <c r="A47" s="2"/>
      <c r="B47" s="2" t="s">
        <v>375</v>
      </c>
      <c r="C47" s="2"/>
      <c r="D47" s="2"/>
      <c r="E47" s="2"/>
      <c r="F47" s="2"/>
      <c r="G47" s="483">
        <f>'Test de compensation'!C180</f>
        <v>0</v>
      </c>
      <c r="H47" s="480">
        <f>G47/G48</f>
        <v>0</v>
      </c>
    </row>
    <row r="48" spans="1:9" ht="12.75" customHeight="1" x14ac:dyDescent="0.25">
      <c r="A48" s="2" t="s">
        <v>4</v>
      </c>
      <c r="B48" s="149" t="s">
        <v>247</v>
      </c>
      <c r="C48" s="2"/>
      <c r="D48" s="2"/>
      <c r="E48" s="2"/>
      <c r="F48" s="2"/>
      <c r="G48" s="396">
        <f>'Calculs détaillés'!AS53</f>
        <v>2394079.2003075741</v>
      </c>
      <c r="H48" s="480">
        <f>SUM(H44:H47)</f>
        <v>1</v>
      </c>
    </row>
    <row r="49" spans="1:11" s="464" customFormat="1" ht="12.75" customHeight="1" x14ac:dyDescent="0.25">
      <c r="A49" s="477" t="s">
        <v>321</v>
      </c>
      <c r="B49" s="477"/>
      <c r="C49" s="477"/>
      <c r="D49" s="477"/>
      <c r="E49" s="477"/>
      <c r="F49" s="477"/>
      <c r="G49" s="316"/>
      <c r="H49" s="484"/>
    </row>
    <row r="50" spans="1:11" ht="12.75" customHeight="1" x14ac:dyDescent="0.25">
      <c r="A50" s="2" t="s">
        <v>335</v>
      </c>
      <c r="B50" s="2"/>
      <c r="C50" s="306">
        <f>'Test de compensation'!C183</f>
        <v>2394079.2003075741</v>
      </c>
      <c r="D50" s="2"/>
      <c r="E50" s="2"/>
      <c r="F50" s="2"/>
    </row>
    <row r="51" spans="1:11" ht="12.75" customHeight="1" x14ac:dyDescent="0.25">
      <c r="A51" s="2" t="s">
        <v>376</v>
      </c>
      <c r="B51" s="2"/>
      <c r="C51" s="306" t="s">
        <v>4</v>
      </c>
      <c r="D51" s="306">
        <f>G23</f>
        <v>5547640.6715551559</v>
      </c>
      <c r="E51" s="2"/>
      <c r="F51" s="2"/>
    </row>
    <row r="52" spans="1:11" ht="12.75" customHeight="1" x14ac:dyDescent="0.25">
      <c r="A52" s="2" t="s">
        <v>229</v>
      </c>
      <c r="B52" s="2"/>
      <c r="C52" s="394" t="s">
        <v>4</v>
      </c>
      <c r="D52" s="485">
        <f>G40</f>
        <v>430656.07532344275</v>
      </c>
      <c r="E52" s="2"/>
      <c r="F52" s="2"/>
    </row>
    <row r="53" spans="1:11" ht="12.75" customHeight="1" x14ac:dyDescent="0.25">
      <c r="A53" s="2" t="s">
        <v>231</v>
      </c>
      <c r="B53" s="2"/>
      <c r="C53" s="394" t="s">
        <v>4</v>
      </c>
      <c r="D53" s="306">
        <f>SUM(D51:D52)</f>
        <v>5978296.7468785988</v>
      </c>
      <c r="E53" s="2"/>
      <c r="F53" s="2"/>
    </row>
    <row r="54" spans="1:11" ht="12.75" customHeight="1" x14ac:dyDescent="0.25">
      <c r="A54" s="477" t="s">
        <v>377</v>
      </c>
      <c r="B54" s="477"/>
      <c r="C54" s="396">
        <f>D53-C50</f>
        <v>3584217.5465710247</v>
      </c>
      <c r="D54" s="2"/>
      <c r="E54" s="2" t="s">
        <v>378</v>
      </c>
      <c r="F54" s="2"/>
    </row>
    <row r="55" spans="1:11" ht="12.75" customHeight="1" x14ac:dyDescent="0.25">
      <c r="A55" s="477"/>
      <c r="B55" s="477"/>
      <c r="C55" s="395"/>
      <c r="D55" s="2"/>
      <c r="E55" s="2" t="s">
        <v>379</v>
      </c>
      <c r="F55" s="2"/>
    </row>
    <row r="56" spans="1:11" ht="12.75" customHeight="1" x14ac:dyDescent="0.25">
      <c r="A56" s="2" t="s">
        <v>380</v>
      </c>
      <c r="B56" s="2"/>
      <c r="C56" s="486">
        <f>'Test de compensation'!D192</f>
        <v>0.40046175385281368</v>
      </c>
      <c r="D56" s="540" t="s">
        <v>381</v>
      </c>
      <c r="E56" s="540"/>
      <c r="F56" s="540"/>
    </row>
    <row r="57" spans="1:11" ht="12.75" customHeight="1" x14ac:dyDescent="0.25">
      <c r="A57" s="2" t="s">
        <v>382</v>
      </c>
      <c r="B57" s="2"/>
      <c r="C57" s="153">
        <f>'Test de compensation'!D193</f>
        <v>0.13381737874047447</v>
      </c>
      <c r="D57" s="2" t="s">
        <v>383</v>
      </c>
      <c r="E57" s="2"/>
      <c r="F57" s="2"/>
    </row>
    <row r="58" spans="1:11" ht="12.75" customHeight="1" x14ac:dyDescent="0.25">
      <c r="A58" s="2" t="s">
        <v>384</v>
      </c>
      <c r="B58" s="2"/>
      <c r="C58" s="153">
        <f>'Test de compensation'!D121/'Notice explicative'!C50</f>
        <v>0.33415770033724101</v>
      </c>
      <c r="D58" s="2" t="s">
        <v>385</v>
      </c>
      <c r="E58" s="2"/>
      <c r="F58" s="2"/>
    </row>
    <row r="59" spans="1:11" ht="12.75" customHeight="1" x14ac:dyDescent="0.25">
      <c r="A59" s="2" t="s">
        <v>386</v>
      </c>
      <c r="B59" s="2"/>
      <c r="C59" s="153"/>
      <c r="D59" s="396">
        <f>'Calculs détaillés'!AS54</f>
        <v>9576.3168012302976</v>
      </c>
      <c r="E59" s="2" t="s">
        <v>387</v>
      </c>
      <c r="F59" s="2"/>
    </row>
    <row r="60" spans="1:11" ht="12.75" customHeight="1" x14ac:dyDescent="0.25">
      <c r="A60" s="2"/>
      <c r="B60" s="2"/>
      <c r="C60" s="153"/>
      <c r="D60" s="2"/>
      <c r="E60" s="2"/>
      <c r="F60" s="2"/>
    </row>
    <row r="61" spans="1:11" s="464" customFormat="1" ht="12.75" customHeight="1" x14ac:dyDescent="0.25">
      <c r="A61" s="487" t="s">
        <v>388</v>
      </c>
      <c r="B61" s="488"/>
      <c r="C61" s="488"/>
      <c r="D61" s="488"/>
      <c r="E61" s="488"/>
      <c r="F61" s="488"/>
      <c r="G61" s="21"/>
      <c r="H61"/>
      <c r="I61"/>
      <c r="J61"/>
      <c r="K61"/>
    </row>
    <row r="62" spans="1:11" s="477" customFormat="1" ht="11.25" customHeight="1" x14ac:dyDescent="0.2">
      <c r="A62" s="489" t="s">
        <v>389</v>
      </c>
      <c r="B62" s="489"/>
      <c r="C62" s="489"/>
      <c r="D62" s="489"/>
      <c r="E62" s="489"/>
      <c r="F62" s="489"/>
      <c r="G62" s="489"/>
      <c r="H62" s="489"/>
      <c r="I62" s="489"/>
      <c r="J62" s="489"/>
      <c r="K62" s="489"/>
    </row>
    <row r="63" spans="1:11" s="477" customFormat="1" ht="11.25" customHeight="1" x14ac:dyDescent="0.2">
      <c r="A63" s="489" t="s">
        <v>390</v>
      </c>
      <c r="B63" s="489"/>
      <c r="C63" s="489"/>
      <c r="D63" s="489"/>
      <c r="E63" s="489"/>
      <c r="F63" s="489"/>
      <c r="G63" s="489"/>
      <c r="H63" s="489"/>
      <c r="I63" s="489"/>
      <c r="J63" s="489"/>
      <c r="K63" s="489"/>
    </row>
    <row r="64" spans="1:11" s="477" customFormat="1" ht="11.25" customHeight="1" x14ac:dyDescent="0.2">
      <c r="A64" s="489"/>
      <c r="B64" s="489"/>
      <c r="C64" s="489"/>
      <c r="D64" s="489"/>
      <c r="E64" s="489"/>
      <c r="F64" s="489"/>
      <c r="G64" s="489"/>
      <c r="H64" s="489"/>
      <c r="I64" s="489"/>
      <c r="J64" s="489"/>
      <c r="K64" s="489"/>
    </row>
    <row r="65" spans="1:11" s="477" customFormat="1" ht="11.25" customHeight="1" x14ac:dyDescent="0.2">
      <c r="A65" s="489" t="s">
        <v>391</v>
      </c>
      <c r="B65" s="489"/>
      <c r="C65" s="489"/>
      <c r="D65" s="489"/>
      <c r="E65" s="489"/>
      <c r="F65" s="489"/>
      <c r="G65" s="489"/>
      <c r="H65" s="489"/>
      <c r="I65" s="489"/>
      <c r="J65" s="489"/>
      <c r="K65" s="489"/>
    </row>
    <row r="66" spans="1:11" s="2" customFormat="1" ht="12.75" customHeight="1" x14ac:dyDescent="0.25">
      <c r="A66" s="28" t="s">
        <v>392</v>
      </c>
      <c r="B66" s="488"/>
      <c r="C66" s="488"/>
      <c r="D66" s="488"/>
      <c r="E66" s="488"/>
      <c r="F66" s="488"/>
      <c r="G66" s="21"/>
      <c r="H66"/>
      <c r="I66"/>
      <c r="J66"/>
      <c r="K66"/>
    </row>
    <row r="67" spans="1:11" s="2" customFormat="1" ht="11.25" customHeight="1" x14ac:dyDescent="0.2">
      <c r="A67" s="2" t="s">
        <v>393</v>
      </c>
    </row>
    <row r="68" spans="1:11" ht="12.75" customHeight="1" x14ac:dyDescent="0.25">
      <c r="A68" s="2" t="s">
        <v>394</v>
      </c>
      <c r="B68"/>
      <c r="C68"/>
      <c r="D68"/>
      <c r="E68"/>
      <c r="F68"/>
      <c r="G68"/>
    </row>
    <row r="69" spans="1:11" ht="12.75" customHeight="1" x14ac:dyDescent="0.25">
      <c r="A69" s="2" t="s">
        <v>395</v>
      </c>
      <c r="B69"/>
      <c r="C69"/>
      <c r="D69"/>
      <c r="E69"/>
      <c r="F69"/>
      <c r="G69"/>
    </row>
    <row r="70" spans="1:11" ht="12.75" customHeight="1" x14ac:dyDescent="0.25">
      <c r="A70" s="2"/>
      <c r="B70"/>
      <c r="C70"/>
      <c r="D70"/>
      <c r="E70"/>
      <c r="F70"/>
      <c r="G70"/>
    </row>
    <row r="71" spans="1:11" s="464" customFormat="1" ht="12.75" customHeight="1" x14ac:dyDescent="0.25">
      <c r="A71" s="477" t="s">
        <v>396</v>
      </c>
    </row>
    <row r="72" spans="1:11" s="464" customFormat="1" ht="12.75" customHeight="1" x14ac:dyDescent="0.25">
      <c r="A72" s="2" t="s">
        <v>397</v>
      </c>
    </row>
    <row r="73" spans="1:11" s="464" customFormat="1" ht="12.75" customHeight="1" x14ac:dyDescent="0.25">
      <c r="A73" s="2" t="s">
        <v>398</v>
      </c>
    </row>
    <row r="74" spans="1:11" s="464" customFormat="1" ht="12.75" customHeight="1" x14ac:dyDescent="0.25">
      <c r="A74" s="2" t="s">
        <v>399</v>
      </c>
    </row>
    <row r="75" spans="1:11" s="478" customFormat="1" ht="12.75" customHeight="1" x14ac:dyDescent="0.25">
      <c r="A75" s="2" t="s">
        <v>400</v>
      </c>
    </row>
    <row r="76" spans="1:11" s="478" customFormat="1" ht="12.75" customHeight="1" x14ac:dyDescent="0.25">
      <c r="A76" s="2" t="s">
        <v>401</v>
      </c>
    </row>
    <row r="77" spans="1:11" s="478" customFormat="1" ht="12.75" customHeight="1" x14ac:dyDescent="0.25">
      <c r="A77" s="2" t="s">
        <v>439</v>
      </c>
    </row>
    <row r="78" spans="1:11" s="464" customFormat="1" ht="12.75" customHeight="1" x14ac:dyDescent="0.25">
      <c r="A78" s="477"/>
    </row>
    <row r="79" spans="1:11" s="464" customFormat="1" ht="12.75" customHeight="1" x14ac:dyDescent="0.25">
      <c r="A79" s="477" t="s">
        <v>402</v>
      </c>
    </row>
    <row r="80" spans="1:11" s="464" customFormat="1" ht="12.75" customHeight="1" x14ac:dyDescent="0.25">
      <c r="A80" s="2" t="s">
        <v>403</v>
      </c>
    </row>
    <row r="81" spans="1:9" s="464" customFormat="1" ht="12.75" customHeight="1" x14ac:dyDescent="0.25">
      <c r="A81" s="477"/>
    </row>
    <row r="82" spans="1:9" s="464" customFormat="1" ht="12.75" customHeight="1" x14ac:dyDescent="0.25">
      <c r="A82" s="477" t="s">
        <v>404</v>
      </c>
    </row>
    <row r="83" spans="1:9" s="478" customFormat="1" ht="12.75" customHeight="1" x14ac:dyDescent="0.25">
      <c r="A83" s="2" t="s">
        <v>405</v>
      </c>
    </row>
    <row r="84" spans="1:9" s="478" customFormat="1" ht="12.75" customHeight="1" x14ac:dyDescent="0.25">
      <c r="A84" s="490"/>
    </row>
    <row r="85" spans="1:9" s="478" customFormat="1" ht="12.75" customHeight="1" x14ac:dyDescent="0.25">
      <c r="A85" s="2" t="s">
        <v>406</v>
      </c>
    </row>
    <row r="86" spans="1:9" s="478" customFormat="1" ht="12.75" customHeight="1" x14ac:dyDescent="0.25">
      <c r="A86" s="2" t="s">
        <v>407</v>
      </c>
      <c r="B86" s="2"/>
      <c r="C86" s="153"/>
      <c r="D86" s="2"/>
      <c r="E86" s="2"/>
      <c r="F86" s="2"/>
      <c r="G86" s="2"/>
      <c r="H86"/>
      <c r="I86"/>
    </row>
    <row r="87" spans="1:9" s="478" customFormat="1" ht="12.75" customHeight="1" x14ac:dyDescent="0.25">
      <c r="A87" s="2" t="s">
        <v>408</v>
      </c>
    </row>
    <row r="88" spans="1:9" s="478" customFormat="1" ht="47.7" customHeight="1" x14ac:dyDescent="0.25">
      <c r="A88" s="490" t="s">
        <v>409</v>
      </c>
      <c r="E88" s="491"/>
    </row>
    <row r="89" spans="1:9" s="478" customFormat="1" ht="12.75" customHeight="1" x14ac:dyDescent="0.25">
      <c r="A89" s="2" t="s">
        <v>410</v>
      </c>
    </row>
    <row r="90" spans="1:9" s="464" customFormat="1" ht="12.75" customHeight="1" x14ac:dyDescent="0.25">
      <c r="A90" s="477"/>
    </row>
    <row r="91" spans="1:9" s="464" customFormat="1" ht="12.75" customHeight="1" x14ac:dyDescent="0.25">
      <c r="A91" s="477" t="s">
        <v>411</v>
      </c>
    </row>
    <row r="92" spans="1:9" s="464" customFormat="1" ht="12.75" customHeight="1" x14ac:dyDescent="0.25">
      <c r="A92" s="2" t="s">
        <v>412</v>
      </c>
    </row>
    <row r="93" spans="1:9" s="478" customFormat="1" ht="12.75" customHeight="1" x14ac:dyDescent="0.25">
      <c r="A93" s="2" t="s">
        <v>413</v>
      </c>
    </row>
    <row r="94" spans="1:9" s="478" customFormat="1" ht="12.75" customHeight="1" x14ac:dyDescent="0.25">
      <c r="A94" s="2" t="s">
        <v>414</v>
      </c>
    </row>
    <row r="95" spans="1:9" s="464" customFormat="1" ht="12.75" customHeight="1" x14ac:dyDescent="0.25">
      <c r="A95" s="403" t="s">
        <v>415</v>
      </c>
    </row>
    <row r="96" spans="1:9" s="464" customFormat="1" ht="12.75" customHeight="1" x14ac:dyDescent="0.25">
      <c r="A96" s="403" t="s">
        <v>416</v>
      </c>
    </row>
    <row r="97" spans="1:10" s="464" customFormat="1" ht="12.75" customHeight="1" x14ac:dyDescent="0.25">
      <c r="A97" s="2" t="s">
        <v>417</v>
      </c>
    </row>
    <row r="98" spans="1:10" s="478" customFormat="1" ht="12.75" customHeight="1" x14ac:dyDescent="0.25">
      <c r="A98" s="2" t="s">
        <v>418</v>
      </c>
    </row>
    <row r="99" spans="1:10" s="478" customFormat="1" ht="12.75" customHeight="1" x14ac:dyDescent="0.25">
      <c r="A99" s="2" t="s">
        <v>419</v>
      </c>
    </row>
    <row r="100" spans="1:10" s="478" customFormat="1" ht="12.75" customHeight="1" x14ac:dyDescent="0.25">
      <c r="A100" s="403" t="s">
        <v>420</v>
      </c>
    </row>
    <row r="101" spans="1:10" s="464" customFormat="1" ht="12.75" customHeight="1" x14ac:dyDescent="0.25">
      <c r="A101" s="477"/>
    </row>
    <row r="102" spans="1:10" s="464" customFormat="1" ht="12.75" customHeight="1" x14ac:dyDescent="0.25">
      <c r="A102" s="477" t="s">
        <v>421</v>
      </c>
    </row>
    <row r="103" spans="1:10" s="464" customFormat="1" ht="12.75" customHeight="1" x14ac:dyDescent="0.25">
      <c r="A103" s="2" t="s">
        <v>422</v>
      </c>
      <c r="B103" s="2"/>
      <c r="C103" s="153"/>
      <c r="D103" s="2"/>
      <c r="E103" s="2"/>
      <c r="F103" s="2"/>
      <c r="G103" s="2"/>
      <c r="H103"/>
      <c r="I103"/>
      <c r="J103"/>
    </row>
    <row r="104" spans="1:10" s="464" customFormat="1" ht="12.75" customHeight="1" x14ac:dyDescent="0.25">
      <c r="A104" s="477"/>
    </row>
    <row r="105" spans="1:10" ht="12.75" customHeight="1" x14ac:dyDescent="0.25">
      <c r="A105" s="8" t="s">
        <v>423</v>
      </c>
      <c r="B105" s="488"/>
      <c r="C105" s="25"/>
      <c r="D105" s="499" t="s">
        <v>436</v>
      </c>
      <c r="E105" s="488"/>
      <c r="F105" s="488"/>
      <c r="G105" s="21"/>
    </row>
    <row r="106" spans="1:10" ht="12.75" customHeight="1" x14ac:dyDescent="0.25">
      <c r="A106" s="8"/>
      <c r="B106" s="488"/>
      <c r="C106" s="26"/>
      <c r="D106" s="488"/>
      <c r="E106" s="488"/>
      <c r="F106" s="488"/>
      <c r="G106" s="21"/>
    </row>
    <row r="107" spans="1:10" ht="12.75" customHeight="1" x14ac:dyDescent="0.25">
      <c r="A107" s="2" t="s">
        <v>424</v>
      </c>
      <c r="B107" s="2"/>
      <c r="C107" s="153"/>
      <c r="D107" s="2"/>
      <c r="E107" s="477">
        <f>G14</f>
        <v>25</v>
      </c>
      <c r="F107" s="2" t="s">
        <v>347</v>
      </c>
      <c r="G107" s="21"/>
    </row>
    <row r="108" spans="1:10" ht="12.75" customHeight="1" x14ac:dyDescent="0.25">
      <c r="A108" s="2"/>
      <c r="B108" s="2"/>
      <c r="C108" s="153"/>
      <c r="D108" s="2"/>
      <c r="E108" s="477"/>
      <c r="F108" s="2"/>
      <c r="G108" s="21"/>
    </row>
    <row r="109" spans="1:10" s="403" customFormat="1" ht="11.25" customHeight="1" x14ac:dyDescent="0.2">
      <c r="A109" s="403" t="s">
        <v>425</v>
      </c>
    </row>
    <row r="110" spans="1:10" s="403" customFormat="1" ht="11.25" customHeight="1" x14ac:dyDescent="0.2">
      <c r="A110" s="403" t="s">
        <v>426</v>
      </c>
    </row>
    <row r="111" spans="1:10" s="403" customFormat="1" ht="11.25" customHeight="1" x14ac:dyDescent="0.2">
      <c r="A111" s="403" t="s">
        <v>427</v>
      </c>
    </row>
    <row r="113" spans="1:8" s="403" customFormat="1" ht="11.25" customHeight="1" x14ac:dyDescent="0.2">
      <c r="A113" s="403" t="s">
        <v>428</v>
      </c>
    </row>
    <row r="114" spans="1:8" s="403" customFormat="1" ht="11.25" customHeight="1" x14ac:dyDescent="0.2">
      <c r="A114" s="403" t="s">
        <v>429</v>
      </c>
    </row>
    <row r="115" spans="1:8" s="403" customFormat="1" ht="11.25" customHeight="1" x14ac:dyDescent="0.2">
      <c r="A115" s="403" t="s">
        <v>430</v>
      </c>
    </row>
    <row r="116" spans="1:8" s="403" customFormat="1" ht="11.25" customHeight="1" x14ac:dyDescent="0.2">
      <c r="A116" s="403" t="s">
        <v>431</v>
      </c>
    </row>
    <row r="117" spans="1:8" s="403" customFormat="1" ht="11.25" customHeight="1" x14ac:dyDescent="0.2">
      <c r="A117" s="403" t="s">
        <v>432</v>
      </c>
      <c r="H117" s="492">
        <f>D59</f>
        <v>9576.3168012302976</v>
      </c>
    </row>
    <row r="118" spans="1:8" s="403" customFormat="1" ht="11.25" customHeight="1" x14ac:dyDescent="0.2">
      <c r="A118" s="403" t="s">
        <v>433</v>
      </c>
      <c r="H118" s="493"/>
    </row>
    <row r="119" spans="1:8" s="403" customFormat="1" ht="11.25" customHeight="1" x14ac:dyDescent="0.2">
      <c r="H119" s="493"/>
    </row>
    <row r="120" spans="1:8" s="403" customFormat="1" ht="11.25" customHeight="1" x14ac:dyDescent="0.2">
      <c r="A120" s="403" t="s">
        <v>434</v>
      </c>
      <c r="H120" s="493"/>
    </row>
  </sheetData>
  <sheetProtection selectLockedCells="1" selectUnlockedCells="1"/>
  <mergeCells count="1">
    <mergeCell ref="D56:F56"/>
  </mergeCells>
  <hyperlinks>
    <hyperlink ref="E9" r:id="rId1" xr:uid="{AB00290C-26F9-44F4-B4BC-53067ED350FF}"/>
    <hyperlink ref="E10" r:id="rId2" xr:uid="{7E93D390-43BC-41FB-B907-6084C5036AC3}"/>
    <hyperlink ref="D105" r:id="rId3" xr:uid="{28FD3253-20B1-4513-9AB5-7D3C7D695E6A}"/>
  </hyperlinks>
  <pageMargins left="0.78749999999999998" right="0.78749999999999998" top="0.98402777777777772" bottom="0.98402777777777772" header="0.51180555555555551" footer="0.51180555555555551"/>
  <pageSetup paperSize="9" scale="48" firstPageNumber="0" fitToHeight="0" orientation="portrait" horizontalDpi="300" verticalDpi="300" r:id="rId4"/>
  <headerFooter alignWithMargins="0"/>
  <rowBreaks count="1" manualBreakCount="1">
    <brk id="90" max="16383"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28</vt:i4>
      </vt:variant>
    </vt:vector>
  </HeadingPairs>
  <TitlesOfParts>
    <vt:vector size="32" baseType="lpstr">
      <vt:lpstr>Test de compensation</vt:lpstr>
      <vt:lpstr>Recettes des sites diffus</vt:lpstr>
      <vt:lpstr>Calculs détaillés</vt:lpstr>
      <vt:lpstr>Notice explicative</vt:lpstr>
      <vt:lpstr>'Test de compensation'!Excel_BuiltIn_Print_Area</vt:lpstr>
      <vt:lpstr>'Calculs détaillés'!Z_1330B1EB_D6B5_4145_AD9D_B75831D2D439__wvu_PrintArea</vt:lpstr>
      <vt:lpstr>'Test de compensation'!Z_1330B1EB_D6B5_4145_AD9D_B75831D2D439__wvu_PrintArea</vt:lpstr>
      <vt:lpstr>'Calculs détaillés'!Z_26C1AF17_D3E4_4547_92D2_C89E7F560B74__wvu_Cols</vt:lpstr>
      <vt:lpstr>'Test de compensation'!Z_26C1AF17_D3E4_4547_92D2_C89E7F560B74__wvu_PrintArea</vt:lpstr>
      <vt:lpstr>'Test de compensation'!Z_4EB177F3_F4D3_41FA_A7ED_DA74984F2109__wvu_PrintArea</vt:lpstr>
      <vt:lpstr>'Calculs détaillés'!Z_5333055B_B1F1_457A_8AF1_DE36B34ACBA7__wvu_PrintArea</vt:lpstr>
      <vt:lpstr>'Test de compensation'!Z_5333055B_B1F1_457A_8AF1_DE36B34ACBA7__wvu_PrintArea</vt:lpstr>
      <vt:lpstr>'Calculs détaillés'!Z_634CB27E_6174_4933_AFE6_F3269E494A87__wvu_PrintArea</vt:lpstr>
      <vt:lpstr>'Test de compensation'!Z_634CB27E_6174_4933_AFE6_F3269E494A87__wvu_PrintArea</vt:lpstr>
      <vt:lpstr>'Calculs détaillés'!Z_6856F346_CE36_4225_9C8C_23291F29B277__wvu_PrintArea</vt:lpstr>
      <vt:lpstr>'Test de compensation'!Z_6856F346_CE36_4225_9C8C_23291F29B277__wvu_PrintArea</vt:lpstr>
      <vt:lpstr>'Calculs détaillés'!Z_72E6A889_852D_4F52_BB9A_47008E4DA803__wvu_PrintArea</vt:lpstr>
      <vt:lpstr>'Test de compensation'!Z_72E6A889_852D_4F52_BB9A_47008E4DA803__wvu_PrintArea</vt:lpstr>
      <vt:lpstr>'Calculs détaillés'!Z_77443461_F99B_4B08_B0A4_4162BB35D233__wvu_PrintArea</vt:lpstr>
      <vt:lpstr>'Test de compensation'!Z_77443461_F99B_4B08_B0A4_4162BB35D233__wvu_PrintArea</vt:lpstr>
      <vt:lpstr>'Calculs détaillés'!Z_8795FEFB_389F_4479_B164_D96CADDEFAAF__wvu_PrintArea</vt:lpstr>
      <vt:lpstr>'Test de compensation'!Z_8795FEFB_389F_4479_B164_D96CADDEFAAF__wvu_PrintArea</vt:lpstr>
      <vt:lpstr>'Calculs détaillés'!Z_8EC9B7B9_8071_418F_A05B_40EF536E5ABE__wvu_PrintArea</vt:lpstr>
      <vt:lpstr>'Test de compensation'!Z_8EC9B7B9_8071_418F_A05B_40EF536E5ABE__wvu_PrintArea</vt:lpstr>
      <vt:lpstr>'Calculs détaillés'!Z_ADC4E5AD_2FF8_4A44_B31C_A9E914D70A09__wvu_PrintArea</vt:lpstr>
      <vt:lpstr>'Test de compensation'!Z_ADC4E5AD_2FF8_4A44_B31C_A9E914D70A09__wvu_PrintArea</vt:lpstr>
      <vt:lpstr>'Calculs détaillés'!Z_D5CA7B6B_8807_4FB4_883F_67B4DEC32F74__wvu_PrintArea</vt:lpstr>
      <vt:lpstr>'Test de compensation'!Z_D5CA7B6B_8807_4FB4_883F_67B4DEC32F74__wvu_PrintArea</vt:lpstr>
      <vt:lpstr>'Calculs détaillés'!Z_EB644E58_B216_4611_9AE5_A9E5F86AC7F7__wvu_PrintArea</vt:lpstr>
      <vt:lpstr>'Test de compensation'!Z_EB644E58_B216_4611_9AE5_A9E5F86AC7F7__wvu_PrintArea</vt:lpstr>
      <vt:lpstr>'Calculs détaillés'!Zone_d_impression</vt:lpstr>
      <vt:lpstr>'Test de compensation'!Zone_d_impression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OUAZAN Stéphane</dc:creator>
  <cp:lastModifiedBy>DALLA TORRE Luca</cp:lastModifiedBy>
  <cp:lastPrinted>2025-01-29T15:58:29Z</cp:lastPrinted>
  <dcterms:created xsi:type="dcterms:W3CDTF">2019-09-02T13:18:05Z</dcterms:created>
  <dcterms:modified xsi:type="dcterms:W3CDTF">2025-02-10T08:53:37Z</dcterms:modified>
</cp:coreProperties>
</file>